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T:\DES\GPE\COR\10 DOCUMENTOS TÉCNICOS\01 TABELA COMPESA\TABELA_COMPESA_2024.2\2 - REDIR\"/>
    </mc:Choice>
  </mc:AlternateContent>
  <bookViews>
    <workbookView xWindow="0" yWindow="0" windowWidth="28800" windowHeight="11235" tabRatio="889"/>
  </bookViews>
  <sheets>
    <sheet name="COMPOSIÇÕES" sheetId="1" r:id="rId1"/>
    <sheet name="PARÂMETROS" sheetId="19" state="hidden" r:id="rId2"/>
    <sheet name="ÍNDICES" sheetId="27" state="hidden" r:id="rId3"/>
    <sheet name="ATUALIZAR_COTAÇÃO" sheetId="10" state="hidden" r:id="rId4"/>
    <sheet name="CADASTRO" sheetId="17" state="hidden" r:id="rId5"/>
    <sheet name="COMP_EPC_RESERVAT" sheetId="18" state="hidden" r:id="rId6"/>
  </sheets>
  <definedNames>
    <definedName name="_xlnm._FilterDatabase" localSheetId="3" hidden="1">ATUALIZAR_COTAÇÃO!$A$1:$BD$268</definedName>
    <definedName name="_xlnm._FilterDatabase" localSheetId="0" hidden="1">COMPOSIÇÕES!$A$144:$XCQ$938</definedName>
    <definedName name="_xlnm.Print_Area" localSheetId="0">COMPOSIÇÕES!$A$1:$L$938</definedName>
    <definedName name="_xlnm.Print_Titles" localSheetId="0">COMPOSIÇÕES!$137:$144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4" i="1" l="1"/>
  <c r="S30" i="19" l="1" a="1"/>
  <c r="S30" i="19" s="1"/>
  <c r="S31" i="19" a="1"/>
  <c r="S31" i="19" s="1"/>
  <c r="S32" i="19" a="1"/>
  <c r="S32" i="19" s="1"/>
  <c r="S33" i="19" a="1"/>
  <c r="S33" i="19" s="1"/>
  <c r="S29" i="19" a="1"/>
  <c r="S29" i="19" s="1"/>
  <c r="Q30" i="19"/>
  <c r="Q31" i="19"/>
  <c r="Q32" i="19"/>
  <c r="Q33" i="19"/>
  <c r="Q29" i="19"/>
  <c r="I12" i="27" l="1"/>
  <c r="A12" i="27"/>
  <c r="I11" i="27"/>
  <c r="A11" i="27"/>
  <c r="I10" i="27"/>
  <c r="A10" i="27"/>
  <c r="I9" i="27"/>
  <c r="A9" i="27"/>
  <c r="I8" i="27"/>
  <c r="A8" i="27"/>
  <c r="I7" i="27"/>
  <c r="A7" i="27"/>
  <c r="I6" i="27"/>
  <c r="A6" i="27"/>
  <c r="I5" i="27"/>
  <c r="A5" i="27"/>
  <c r="I4" i="27"/>
  <c r="A4" i="27"/>
  <c r="I3" i="27"/>
  <c r="A3" i="27"/>
  <c r="N44" i="10" l="1"/>
  <c r="N43" i="10"/>
  <c r="N42" i="10"/>
  <c r="N41" i="10"/>
  <c r="M45" i="10" l="1"/>
  <c r="BD45" i="10"/>
  <c r="BA45" i="10"/>
  <c r="AX45" i="10"/>
  <c r="AU45" i="10"/>
  <c r="AR45" i="10"/>
  <c r="Z45" i="10"/>
  <c r="Y45" i="10"/>
  <c r="X45" i="10"/>
  <c r="W45" i="10"/>
  <c r="V45" i="10"/>
  <c r="U45" i="10"/>
  <c r="P45" i="10"/>
  <c r="S45" i="10" l="1"/>
  <c r="R45" i="10"/>
  <c r="J45" i="10"/>
  <c r="T45" i="10"/>
  <c r="Q45" i="10"/>
  <c r="K45" i="10" l="1"/>
  <c r="L45" i="10" s="1"/>
  <c r="G45" i="10"/>
  <c r="F45" i="10"/>
  <c r="M218" i="10" l="1"/>
  <c r="M219" i="10"/>
  <c r="BD240" i="10" l="1"/>
  <c r="BA240" i="10"/>
  <c r="AX240" i="10"/>
  <c r="AR240" i="10"/>
  <c r="AL240" i="10"/>
  <c r="AF240" i="10"/>
  <c r="Z240" i="10"/>
  <c r="Y240" i="10"/>
  <c r="X240" i="10"/>
  <c r="W240" i="10"/>
  <c r="V240" i="10"/>
  <c r="U240" i="10"/>
  <c r="P240" i="10"/>
  <c r="T240" i="10" l="1"/>
  <c r="Q240" i="10"/>
  <c r="R240" i="10"/>
  <c r="S240" i="10"/>
  <c r="P5" i="10"/>
  <c r="U5" i="10" s="1"/>
  <c r="Y5" i="10"/>
  <c r="Z5" i="10"/>
  <c r="P6" i="10"/>
  <c r="U6" i="10" s="1"/>
  <c r="V6" i="10"/>
  <c r="W6" i="10"/>
  <c r="X6" i="10"/>
  <c r="Y6" i="10"/>
  <c r="Z6" i="10"/>
  <c r="X7" i="10"/>
  <c r="Y7" i="10"/>
  <c r="Z7" i="10"/>
  <c r="X8" i="10"/>
  <c r="Y8" i="10"/>
  <c r="Z8" i="10"/>
  <c r="X9" i="10"/>
  <c r="Y9" i="10"/>
  <c r="Z9" i="10"/>
  <c r="X10" i="10"/>
  <c r="Y10" i="10"/>
  <c r="Z10" i="10"/>
  <c r="X11" i="10"/>
  <c r="Y11" i="10"/>
  <c r="Z11" i="10"/>
  <c r="X12" i="10"/>
  <c r="Y12" i="10"/>
  <c r="Z12" i="10"/>
  <c r="X13" i="10"/>
  <c r="Y13" i="10"/>
  <c r="Z13" i="10"/>
  <c r="X14" i="10"/>
  <c r="Y14" i="10"/>
  <c r="Z14" i="10"/>
  <c r="X15" i="10"/>
  <c r="Y15" i="10"/>
  <c r="Z15" i="10"/>
  <c r="P16" i="10"/>
  <c r="W16" i="10"/>
  <c r="X16" i="10"/>
  <c r="Y16" i="10"/>
  <c r="Z16" i="10"/>
  <c r="P17" i="10"/>
  <c r="U17" i="10" s="1"/>
  <c r="W17" i="10"/>
  <c r="X17" i="10"/>
  <c r="Y17" i="10"/>
  <c r="Z17" i="10"/>
  <c r="P18" i="10"/>
  <c r="W18" i="10"/>
  <c r="X18" i="10"/>
  <c r="Y18" i="10"/>
  <c r="Z18" i="10"/>
  <c r="P19" i="10"/>
  <c r="U19" i="10" s="1"/>
  <c r="W19" i="10"/>
  <c r="X19" i="10"/>
  <c r="Y19" i="10"/>
  <c r="Z19" i="10"/>
  <c r="P20" i="10"/>
  <c r="W20" i="10"/>
  <c r="X20" i="10"/>
  <c r="Y20" i="10"/>
  <c r="Z20" i="10"/>
  <c r="P21" i="10"/>
  <c r="W21" i="10"/>
  <c r="X21" i="10"/>
  <c r="Y21" i="10"/>
  <c r="Z21" i="10"/>
  <c r="P22" i="10"/>
  <c r="U22" i="10" s="1"/>
  <c r="W22" i="10"/>
  <c r="X22" i="10"/>
  <c r="Y22" i="10"/>
  <c r="Z22" i="10"/>
  <c r="P23" i="10"/>
  <c r="U23" i="10" s="1"/>
  <c r="W23" i="10"/>
  <c r="X23" i="10"/>
  <c r="Y23" i="10"/>
  <c r="Z23" i="10"/>
  <c r="P24" i="10"/>
  <c r="W24" i="10"/>
  <c r="X24" i="10"/>
  <c r="Y24" i="10"/>
  <c r="Z24" i="10"/>
  <c r="P25" i="10"/>
  <c r="W25" i="10"/>
  <c r="X25" i="10"/>
  <c r="Y25" i="10"/>
  <c r="Z25" i="10"/>
  <c r="P26" i="10"/>
  <c r="U26" i="10" s="1"/>
  <c r="W26" i="10"/>
  <c r="X26" i="10"/>
  <c r="Y26" i="10"/>
  <c r="Z26" i="10"/>
  <c r="X27" i="10"/>
  <c r="Y27" i="10"/>
  <c r="Z27" i="10"/>
  <c r="X28" i="10"/>
  <c r="Y28" i="10"/>
  <c r="Z28" i="10"/>
  <c r="W29" i="10"/>
  <c r="X29" i="10"/>
  <c r="Y29" i="10"/>
  <c r="Z29" i="10"/>
  <c r="P30" i="10"/>
  <c r="U30" i="10" s="1"/>
  <c r="V30" i="10"/>
  <c r="W30" i="10"/>
  <c r="X30" i="10"/>
  <c r="Y30" i="10"/>
  <c r="Z30" i="10"/>
  <c r="P31" i="10"/>
  <c r="U31" i="10"/>
  <c r="V31" i="10"/>
  <c r="W31" i="10"/>
  <c r="X31" i="10"/>
  <c r="Y31" i="10"/>
  <c r="Z31" i="10"/>
  <c r="X32" i="10"/>
  <c r="Y32" i="10"/>
  <c r="Z32" i="10"/>
  <c r="P33" i="10"/>
  <c r="U33" i="10" s="1"/>
  <c r="W33" i="10"/>
  <c r="X33" i="10"/>
  <c r="Y33" i="10"/>
  <c r="Z33" i="10"/>
  <c r="P34" i="10"/>
  <c r="U34" i="10" s="1"/>
  <c r="W34" i="10"/>
  <c r="X34" i="10"/>
  <c r="Y34" i="10"/>
  <c r="Z34" i="10"/>
  <c r="P35" i="10"/>
  <c r="U35" i="10" s="1"/>
  <c r="V35" i="10"/>
  <c r="W35" i="10"/>
  <c r="X35" i="10"/>
  <c r="Y35" i="10"/>
  <c r="Z35" i="10"/>
  <c r="P36" i="10"/>
  <c r="W36" i="10" s="1"/>
  <c r="X36" i="10"/>
  <c r="Y36" i="10"/>
  <c r="Z36" i="10"/>
  <c r="P37" i="10"/>
  <c r="W37" i="10" s="1"/>
  <c r="X37" i="10"/>
  <c r="Y37" i="10"/>
  <c r="Z37" i="10"/>
  <c r="P38" i="10"/>
  <c r="U38" i="10" s="1"/>
  <c r="X38" i="10"/>
  <c r="Y38" i="10"/>
  <c r="Z38" i="10"/>
  <c r="P39" i="10"/>
  <c r="X39" i="10"/>
  <c r="Y39" i="10"/>
  <c r="Z39" i="10"/>
  <c r="P40" i="10"/>
  <c r="W40" i="10" s="1"/>
  <c r="X40" i="10"/>
  <c r="Y40" i="10"/>
  <c r="Z40" i="10"/>
  <c r="P41" i="10"/>
  <c r="U41" i="10"/>
  <c r="V41" i="10"/>
  <c r="W41" i="10"/>
  <c r="X41" i="10"/>
  <c r="Y41" i="10"/>
  <c r="Z41" i="10"/>
  <c r="P42" i="10"/>
  <c r="U42" i="10"/>
  <c r="V42" i="10"/>
  <c r="W42" i="10"/>
  <c r="X42" i="10"/>
  <c r="Y42" i="10"/>
  <c r="Z42" i="10"/>
  <c r="P43" i="10"/>
  <c r="U43" i="10"/>
  <c r="V43" i="10"/>
  <c r="W43" i="10"/>
  <c r="X43" i="10"/>
  <c r="Y43" i="10"/>
  <c r="Z43" i="10"/>
  <c r="P44" i="10"/>
  <c r="U44" i="10"/>
  <c r="V44" i="10"/>
  <c r="W44" i="10"/>
  <c r="X44" i="10"/>
  <c r="Y44" i="10"/>
  <c r="Z44" i="10"/>
  <c r="P46" i="10"/>
  <c r="V46" i="10"/>
  <c r="W46" i="10"/>
  <c r="X46" i="10"/>
  <c r="Y46" i="10"/>
  <c r="Z46" i="10"/>
  <c r="P47" i="10"/>
  <c r="U47" i="10"/>
  <c r="V47" i="10"/>
  <c r="W47" i="10"/>
  <c r="X47" i="10"/>
  <c r="Y47" i="10"/>
  <c r="Z47" i="10"/>
  <c r="P48" i="10"/>
  <c r="U48" i="10" s="1"/>
  <c r="X48" i="10"/>
  <c r="Y48" i="10"/>
  <c r="Z48" i="10"/>
  <c r="P49" i="10"/>
  <c r="W49" i="10" s="1"/>
  <c r="X49" i="10"/>
  <c r="Y49" i="10"/>
  <c r="Z49" i="10"/>
  <c r="P50" i="10"/>
  <c r="W50" i="10" s="1"/>
  <c r="X50" i="10"/>
  <c r="Y50" i="10"/>
  <c r="Z50" i="10"/>
  <c r="P51" i="10"/>
  <c r="U51" i="10" s="1"/>
  <c r="X51" i="10"/>
  <c r="Y51" i="10"/>
  <c r="Z51" i="10"/>
  <c r="P52" i="10"/>
  <c r="W52" i="10" s="1"/>
  <c r="X52" i="10"/>
  <c r="Y52" i="10"/>
  <c r="Z52" i="10"/>
  <c r="P53" i="10"/>
  <c r="X53" i="10"/>
  <c r="Y53" i="10"/>
  <c r="Z53" i="10"/>
  <c r="P54" i="10"/>
  <c r="U54" i="10" s="1"/>
  <c r="X54" i="10"/>
  <c r="Y54" i="10"/>
  <c r="Z54" i="10"/>
  <c r="P55" i="10"/>
  <c r="U55" i="10" s="1"/>
  <c r="X55" i="10"/>
  <c r="Y55" i="10"/>
  <c r="Z55" i="10"/>
  <c r="P56" i="10"/>
  <c r="W56" i="10" s="1"/>
  <c r="X56" i="10"/>
  <c r="Y56" i="10"/>
  <c r="Z56" i="10"/>
  <c r="P57" i="10"/>
  <c r="X57" i="10"/>
  <c r="Y57" i="10"/>
  <c r="Z57" i="10"/>
  <c r="P58" i="10"/>
  <c r="U58" i="10"/>
  <c r="V58" i="10"/>
  <c r="W58" i="10"/>
  <c r="X58" i="10"/>
  <c r="Y58" i="10"/>
  <c r="Z58" i="10"/>
  <c r="P59" i="10"/>
  <c r="U59" i="10" s="1"/>
  <c r="X59" i="10"/>
  <c r="Y59" i="10"/>
  <c r="Z59" i="10"/>
  <c r="P60" i="10"/>
  <c r="U60" i="10"/>
  <c r="V60" i="10"/>
  <c r="W60" i="10"/>
  <c r="X60" i="10"/>
  <c r="Y60" i="10"/>
  <c r="Z60" i="10"/>
  <c r="P61" i="10"/>
  <c r="X61" i="10"/>
  <c r="Y61" i="10"/>
  <c r="Z61" i="10"/>
  <c r="P62" i="10"/>
  <c r="U62" i="10" s="1"/>
  <c r="X62" i="10"/>
  <c r="Y62" i="10"/>
  <c r="Z62" i="10"/>
  <c r="P63" i="10"/>
  <c r="U63" i="10" s="1"/>
  <c r="X63" i="10"/>
  <c r="Y63" i="10"/>
  <c r="Z63" i="10"/>
  <c r="P64" i="10"/>
  <c r="X64" i="10"/>
  <c r="Y64" i="10"/>
  <c r="Z64" i="10"/>
  <c r="P65" i="10"/>
  <c r="X65" i="10"/>
  <c r="Y65" i="10"/>
  <c r="Z65" i="10"/>
  <c r="P66" i="10"/>
  <c r="W66" i="10" s="1"/>
  <c r="X66" i="10"/>
  <c r="Y66" i="10"/>
  <c r="Z66" i="10"/>
  <c r="P67" i="10"/>
  <c r="U67" i="10" s="1"/>
  <c r="Y67" i="10"/>
  <c r="Z67" i="10"/>
  <c r="Y68" i="10"/>
  <c r="Z68" i="10"/>
  <c r="P69" i="10"/>
  <c r="W69" i="10"/>
  <c r="X69" i="10"/>
  <c r="Y69" i="10"/>
  <c r="Z69" i="10"/>
  <c r="P70" i="10"/>
  <c r="U70" i="10" s="1"/>
  <c r="W70" i="10"/>
  <c r="X70" i="10"/>
  <c r="Y70" i="10"/>
  <c r="Z70" i="10"/>
  <c r="P71" i="10"/>
  <c r="W71" i="10"/>
  <c r="X71" i="10"/>
  <c r="Y71" i="10"/>
  <c r="Z71" i="10"/>
  <c r="P72" i="10"/>
  <c r="V67" i="10" s="1"/>
  <c r="W72" i="10"/>
  <c r="X72" i="10"/>
  <c r="Y72" i="10"/>
  <c r="Z72" i="10"/>
  <c r="P73" i="10"/>
  <c r="W73" i="10"/>
  <c r="X73" i="10"/>
  <c r="Y73" i="10"/>
  <c r="Z73" i="10"/>
  <c r="P74" i="10"/>
  <c r="X74" i="10"/>
  <c r="Y74" i="10"/>
  <c r="Z74" i="10"/>
  <c r="P75" i="10"/>
  <c r="X75" i="10"/>
  <c r="Y75" i="10"/>
  <c r="Z75" i="10"/>
  <c r="P76" i="10"/>
  <c r="U76" i="10"/>
  <c r="V76" i="10"/>
  <c r="W76" i="10"/>
  <c r="X76" i="10"/>
  <c r="Y76" i="10"/>
  <c r="Z76" i="10"/>
  <c r="P77" i="10"/>
  <c r="U77" i="10" s="1"/>
  <c r="X77" i="10"/>
  <c r="Y77" i="10"/>
  <c r="Z77" i="10"/>
  <c r="P78" i="10"/>
  <c r="V73" i="10" s="1"/>
  <c r="U78" i="10"/>
  <c r="V78" i="10"/>
  <c r="W78" i="10"/>
  <c r="X78" i="10"/>
  <c r="Y78" i="10"/>
  <c r="Z78" i="10"/>
  <c r="P79" i="10"/>
  <c r="X79" i="10"/>
  <c r="Y79" i="10"/>
  <c r="Z79" i="10"/>
  <c r="P80" i="10"/>
  <c r="U80" i="10" s="1"/>
  <c r="W80" i="10"/>
  <c r="X80" i="10"/>
  <c r="Y80" i="10"/>
  <c r="Z80" i="10"/>
  <c r="P81" i="10"/>
  <c r="U81" i="10"/>
  <c r="V81" i="10"/>
  <c r="W81" i="10"/>
  <c r="X81" i="10"/>
  <c r="Y81" i="10"/>
  <c r="Z81" i="10"/>
  <c r="P82" i="10"/>
  <c r="U82" i="10"/>
  <c r="V82" i="10"/>
  <c r="W82" i="10"/>
  <c r="X82" i="10"/>
  <c r="Y82" i="10"/>
  <c r="Z82" i="10"/>
  <c r="P83" i="10"/>
  <c r="U83" i="10"/>
  <c r="V83" i="10"/>
  <c r="W83" i="10"/>
  <c r="X83" i="10"/>
  <c r="Y83" i="10"/>
  <c r="Z83" i="10"/>
  <c r="P84" i="10"/>
  <c r="W84" i="10" s="1"/>
  <c r="X84" i="10"/>
  <c r="Y84" i="10"/>
  <c r="Z84" i="10"/>
  <c r="P85" i="10"/>
  <c r="U85" i="10" s="1"/>
  <c r="Y85" i="10"/>
  <c r="Z85" i="10"/>
  <c r="P86" i="10"/>
  <c r="U86" i="10" s="1"/>
  <c r="X86" i="10"/>
  <c r="Y86" i="10"/>
  <c r="Z86" i="10"/>
  <c r="P87" i="10"/>
  <c r="Y87" i="10"/>
  <c r="Z87" i="10"/>
  <c r="P88" i="10"/>
  <c r="W88" i="10" s="1"/>
  <c r="Z88" i="10"/>
  <c r="P89" i="10"/>
  <c r="U89" i="10" s="1"/>
  <c r="X89" i="10"/>
  <c r="Y89" i="10"/>
  <c r="Z89" i="10"/>
  <c r="P90" i="10"/>
  <c r="U90" i="10"/>
  <c r="V90" i="10"/>
  <c r="W90" i="10"/>
  <c r="X90" i="10"/>
  <c r="Y90" i="10"/>
  <c r="Z90" i="10"/>
  <c r="P91" i="10"/>
  <c r="X91" i="10"/>
  <c r="Y91" i="10"/>
  <c r="Z91" i="10"/>
  <c r="P92" i="10"/>
  <c r="U92" i="10" s="1"/>
  <c r="X92" i="10"/>
  <c r="Y92" i="10"/>
  <c r="Z92" i="10"/>
  <c r="P93" i="10"/>
  <c r="U93" i="10" s="1"/>
  <c r="X93" i="10"/>
  <c r="Y93" i="10"/>
  <c r="Z93" i="10"/>
  <c r="P94" i="10"/>
  <c r="W94" i="10" s="1"/>
  <c r="X94" i="10"/>
  <c r="Y94" i="10"/>
  <c r="Z94" i="10"/>
  <c r="P95" i="10"/>
  <c r="U95" i="10"/>
  <c r="V95" i="10"/>
  <c r="W95" i="10"/>
  <c r="X95" i="10"/>
  <c r="Y95" i="10"/>
  <c r="Z95" i="10"/>
  <c r="P96" i="10"/>
  <c r="U96" i="10"/>
  <c r="V96" i="10"/>
  <c r="W96" i="10"/>
  <c r="X96" i="10"/>
  <c r="Y96" i="10"/>
  <c r="Z96" i="10"/>
  <c r="P97" i="10"/>
  <c r="U97" i="10"/>
  <c r="V97" i="10"/>
  <c r="W97" i="10"/>
  <c r="X97" i="10"/>
  <c r="Y97" i="10"/>
  <c r="Z97" i="10"/>
  <c r="P98" i="10"/>
  <c r="W98" i="10" s="1"/>
  <c r="Y98" i="10"/>
  <c r="Z98" i="10"/>
  <c r="P99" i="10"/>
  <c r="X99" i="10" s="1"/>
  <c r="Y99" i="10"/>
  <c r="Z99" i="10"/>
  <c r="P100" i="10"/>
  <c r="U100" i="10" s="1"/>
  <c r="X100" i="10"/>
  <c r="Y100" i="10"/>
  <c r="Z100" i="10"/>
  <c r="X101" i="10"/>
  <c r="Y101" i="10"/>
  <c r="Z101" i="10"/>
  <c r="P102" i="10"/>
  <c r="W102" i="10" s="1"/>
  <c r="Y102" i="10"/>
  <c r="Z102" i="10"/>
  <c r="P103" i="10"/>
  <c r="X103" i="10"/>
  <c r="Y103" i="10"/>
  <c r="Z103" i="10"/>
  <c r="P104" i="10"/>
  <c r="U104" i="10" s="1"/>
  <c r="X104" i="10"/>
  <c r="Y104" i="10"/>
  <c r="Z104" i="10"/>
  <c r="P105" i="10"/>
  <c r="X105" i="10"/>
  <c r="Y105" i="10"/>
  <c r="Z105" i="10"/>
  <c r="P106" i="10"/>
  <c r="W106" i="10" s="1"/>
  <c r="X106" i="10"/>
  <c r="Y106" i="10"/>
  <c r="Z106" i="10"/>
  <c r="P107" i="10"/>
  <c r="U107" i="10"/>
  <c r="V107" i="10"/>
  <c r="W107" i="10"/>
  <c r="X107" i="10"/>
  <c r="Y107" i="10"/>
  <c r="Z107" i="10"/>
  <c r="P108" i="10"/>
  <c r="U108" i="10"/>
  <c r="V108" i="10"/>
  <c r="W108" i="10"/>
  <c r="X108" i="10"/>
  <c r="Y108" i="10"/>
  <c r="Z108" i="10"/>
  <c r="P109" i="10"/>
  <c r="X109" i="10"/>
  <c r="Y109" i="10"/>
  <c r="Z109" i="10"/>
  <c r="P110" i="10"/>
  <c r="U110" i="10"/>
  <c r="V110" i="10"/>
  <c r="W110" i="10"/>
  <c r="X110" i="10"/>
  <c r="Y110" i="10"/>
  <c r="Z110" i="10"/>
  <c r="X111" i="10"/>
  <c r="Y111" i="10"/>
  <c r="Z111" i="10"/>
  <c r="P112" i="10"/>
  <c r="U112" i="10" s="1"/>
  <c r="X112" i="10"/>
  <c r="Y112" i="10"/>
  <c r="Z112" i="10"/>
  <c r="P113" i="10"/>
  <c r="U113" i="10" s="1"/>
  <c r="X113" i="10"/>
  <c r="Y113" i="10"/>
  <c r="Z113" i="10"/>
  <c r="P114" i="10"/>
  <c r="U114" i="10" s="1"/>
  <c r="X114" i="10"/>
  <c r="Y114" i="10"/>
  <c r="Z114" i="10"/>
  <c r="P115" i="10"/>
  <c r="X115" i="10"/>
  <c r="Y115" i="10"/>
  <c r="Z115" i="10"/>
  <c r="P116" i="10"/>
  <c r="U116" i="10"/>
  <c r="V116" i="10"/>
  <c r="W116" i="10"/>
  <c r="X116" i="10"/>
  <c r="Y116" i="10"/>
  <c r="Z116" i="10"/>
  <c r="P117" i="10"/>
  <c r="U117" i="10"/>
  <c r="V117" i="10"/>
  <c r="W117" i="10"/>
  <c r="X117" i="10"/>
  <c r="Y117" i="10"/>
  <c r="Z117" i="10"/>
  <c r="P118" i="10"/>
  <c r="U118" i="10"/>
  <c r="V118" i="10"/>
  <c r="W118" i="10"/>
  <c r="X118" i="10"/>
  <c r="Y118" i="10"/>
  <c r="Z118" i="10"/>
  <c r="P119" i="10"/>
  <c r="X119" i="10"/>
  <c r="Y119" i="10"/>
  <c r="Z119" i="10"/>
  <c r="P120" i="10"/>
  <c r="W120" i="10" s="1"/>
  <c r="X120" i="10"/>
  <c r="Y120" i="10"/>
  <c r="Z120" i="10"/>
  <c r="P121" i="10"/>
  <c r="U121" i="10" s="1"/>
  <c r="X121" i="10"/>
  <c r="Y121" i="10"/>
  <c r="Z121" i="10"/>
  <c r="P122" i="10"/>
  <c r="W122" i="10" s="1"/>
  <c r="X122" i="10"/>
  <c r="Y122" i="10"/>
  <c r="Z122" i="10"/>
  <c r="P123" i="10"/>
  <c r="X123" i="10"/>
  <c r="Y123" i="10"/>
  <c r="Z123" i="10"/>
  <c r="P124" i="10"/>
  <c r="U124" i="10"/>
  <c r="V124" i="10"/>
  <c r="W124" i="10"/>
  <c r="X124" i="10"/>
  <c r="Y124" i="10"/>
  <c r="Z124" i="10"/>
  <c r="P125" i="10"/>
  <c r="U125" i="10" s="1"/>
  <c r="X125" i="10"/>
  <c r="Y125" i="10"/>
  <c r="Z125" i="10"/>
  <c r="P126" i="10"/>
  <c r="W126" i="10" s="1"/>
  <c r="X126" i="10"/>
  <c r="Y126" i="10"/>
  <c r="Z126" i="10"/>
  <c r="P127" i="10"/>
  <c r="U127" i="10"/>
  <c r="V127" i="10"/>
  <c r="W127" i="10"/>
  <c r="X127" i="10"/>
  <c r="Y127" i="10"/>
  <c r="Z127" i="10"/>
  <c r="P128" i="10"/>
  <c r="U128" i="10"/>
  <c r="V128" i="10"/>
  <c r="W128" i="10"/>
  <c r="X128" i="10"/>
  <c r="Y128" i="10"/>
  <c r="Z128" i="10"/>
  <c r="P129" i="10"/>
  <c r="U129" i="10"/>
  <c r="V129" i="10"/>
  <c r="W129" i="10"/>
  <c r="X129" i="10"/>
  <c r="Y129" i="10"/>
  <c r="Z129" i="10"/>
  <c r="P130" i="10"/>
  <c r="U130" i="10"/>
  <c r="V130" i="10"/>
  <c r="W130" i="10"/>
  <c r="X130" i="10"/>
  <c r="Y130" i="10"/>
  <c r="Z130" i="10"/>
  <c r="P131" i="10"/>
  <c r="V126" i="10" s="1"/>
  <c r="U131" i="10"/>
  <c r="V131" i="10"/>
  <c r="W131" i="10"/>
  <c r="X131" i="10"/>
  <c r="Y131" i="10"/>
  <c r="Z131" i="10"/>
  <c r="P132" i="10"/>
  <c r="U132" i="10"/>
  <c r="V132" i="10"/>
  <c r="W132" i="10"/>
  <c r="X132" i="10"/>
  <c r="Y132" i="10"/>
  <c r="Z132" i="10"/>
  <c r="P133" i="10"/>
  <c r="U133" i="10"/>
  <c r="V133" i="10"/>
  <c r="W133" i="10"/>
  <c r="X133" i="10"/>
  <c r="Y133" i="10"/>
  <c r="Z133" i="10"/>
  <c r="P134" i="10"/>
  <c r="U134" i="10"/>
  <c r="V134" i="10"/>
  <c r="W134" i="10"/>
  <c r="X134" i="10"/>
  <c r="Y134" i="10"/>
  <c r="Z134" i="10"/>
  <c r="P135" i="10"/>
  <c r="U135" i="10"/>
  <c r="V135" i="10"/>
  <c r="W135" i="10"/>
  <c r="X135" i="10"/>
  <c r="Y135" i="10"/>
  <c r="Z135" i="10"/>
  <c r="P136" i="10"/>
  <c r="U136" i="10"/>
  <c r="V136" i="10"/>
  <c r="W136" i="10"/>
  <c r="X136" i="10"/>
  <c r="Y136" i="10"/>
  <c r="Z136" i="10"/>
  <c r="P137" i="10"/>
  <c r="U137" i="10"/>
  <c r="V137" i="10"/>
  <c r="W137" i="10"/>
  <c r="X137" i="10"/>
  <c r="Y137" i="10"/>
  <c r="Z137" i="10"/>
  <c r="P138" i="10"/>
  <c r="U138" i="10"/>
  <c r="V138" i="10"/>
  <c r="W138" i="10"/>
  <c r="X138" i="10"/>
  <c r="Y138" i="10"/>
  <c r="Z138" i="10"/>
  <c r="P139" i="10"/>
  <c r="U139" i="10"/>
  <c r="V139" i="10"/>
  <c r="W139" i="10"/>
  <c r="X139" i="10"/>
  <c r="Y139" i="10"/>
  <c r="Z139" i="10"/>
  <c r="P140" i="10"/>
  <c r="U140" i="10"/>
  <c r="V140" i="10"/>
  <c r="W140" i="10"/>
  <c r="X140" i="10"/>
  <c r="Y140" i="10"/>
  <c r="Z140" i="10"/>
  <c r="P141" i="10"/>
  <c r="U141" i="10"/>
  <c r="V141" i="10"/>
  <c r="W141" i="10"/>
  <c r="X141" i="10"/>
  <c r="Y141" i="10"/>
  <c r="Z141" i="10"/>
  <c r="P142" i="10"/>
  <c r="U142" i="10"/>
  <c r="V142" i="10"/>
  <c r="W142" i="10"/>
  <c r="X142" i="10"/>
  <c r="Y142" i="10"/>
  <c r="Z142" i="10"/>
  <c r="P143" i="10"/>
  <c r="U143" i="10"/>
  <c r="V143" i="10"/>
  <c r="W143" i="10"/>
  <c r="X143" i="10"/>
  <c r="Y143" i="10"/>
  <c r="Z143" i="10"/>
  <c r="P144" i="10"/>
  <c r="U144" i="10"/>
  <c r="V144" i="10"/>
  <c r="W144" i="10"/>
  <c r="X144" i="10"/>
  <c r="Y144" i="10"/>
  <c r="Z144" i="10"/>
  <c r="P145" i="10"/>
  <c r="U145" i="10"/>
  <c r="V145" i="10"/>
  <c r="W145" i="10"/>
  <c r="X145" i="10"/>
  <c r="Y145" i="10"/>
  <c r="Z145" i="10"/>
  <c r="P146" i="10"/>
  <c r="U146" i="10"/>
  <c r="V146" i="10"/>
  <c r="W146" i="10"/>
  <c r="X146" i="10"/>
  <c r="Y146" i="10"/>
  <c r="Z146" i="10"/>
  <c r="P147" i="10"/>
  <c r="U147" i="10"/>
  <c r="V147" i="10"/>
  <c r="W147" i="10"/>
  <c r="X147" i="10"/>
  <c r="Y147" i="10"/>
  <c r="Z147" i="10"/>
  <c r="P148" i="10"/>
  <c r="U148" i="10"/>
  <c r="V148" i="10"/>
  <c r="W148" i="10"/>
  <c r="X148" i="10"/>
  <c r="Y148" i="10"/>
  <c r="Z148" i="10"/>
  <c r="P149" i="10"/>
  <c r="U149" i="10"/>
  <c r="V149" i="10"/>
  <c r="W149" i="10"/>
  <c r="X149" i="10"/>
  <c r="Y149" i="10"/>
  <c r="Z149" i="10"/>
  <c r="P150" i="10"/>
  <c r="U150" i="10"/>
  <c r="V150" i="10"/>
  <c r="W150" i="10"/>
  <c r="X150" i="10"/>
  <c r="Y150" i="10"/>
  <c r="Z150" i="10"/>
  <c r="P151" i="10"/>
  <c r="U151" i="10"/>
  <c r="V151" i="10"/>
  <c r="W151" i="10"/>
  <c r="X151" i="10"/>
  <c r="Y151" i="10"/>
  <c r="Z151" i="10"/>
  <c r="P152" i="10"/>
  <c r="U152" i="10"/>
  <c r="V152" i="10"/>
  <c r="W152" i="10"/>
  <c r="X152" i="10"/>
  <c r="Y152" i="10"/>
  <c r="Z152" i="10"/>
  <c r="P153" i="10"/>
  <c r="U153" i="10"/>
  <c r="V153" i="10"/>
  <c r="W153" i="10"/>
  <c r="X153" i="10"/>
  <c r="Y153" i="10"/>
  <c r="Z153" i="10"/>
  <c r="P154" i="10"/>
  <c r="U154" i="10"/>
  <c r="V154" i="10"/>
  <c r="W154" i="10"/>
  <c r="X154" i="10"/>
  <c r="Y154" i="10"/>
  <c r="Z154" i="10"/>
  <c r="P155" i="10"/>
  <c r="U155" i="10"/>
  <c r="V155" i="10"/>
  <c r="W155" i="10"/>
  <c r="X155" i="10"/>
  <c r="Y155" i="10"/>
  <c r="Z155" i="10"/>
  <c r="P156" i="10"/>
  <c r="U156" i="10"/>
  <c r="V156" i="10"/>
  <c r="W156" i="10"/>
  <c r="X156" i="10"/>
  <c r="Y156" i="10"/>
  <c r="Z156" i="10"/>
  <c r="P157" i="10"/>
  <c r="U157" i="10"/>
  <c r="V157" i="10"/>
  <c r="W157" i="10"/>
  <c r="X157" i="10"/>
  <c r="Y157" i="10"/>
  <c r="Z157" i="10"/>
  <c r="P158" i="10"/>
  <c r="U158" i="10"/>
  <c r="V158" i="10"/>
  <c r="W158" i="10"/>
  <c r="X158" i="10"/>
  <c r="Y158" i="10"/>
  <c r="Z158" i="10"/>
  <c r="P159" i="10"/>
  <c r="U159" i="10"/>
  <c r="V159" i="10"/>
  <c r="W159" i="10"/>
  <c r="X159" i="10"/>
  <c r="Y159" i="10"/>
  <c r="Z159" i="10"/>
  <c r="P160" i="10"/>
  <c r="U160" i="10"/>
  <c r="V160" i="10"/>
  <c r="W160" i="10"/>
  <c r="X160" i="10"/>
  <c r="Y160" i="10"/>
  <c r="Z160" i="10"/>
  <c r="P161" i="10"/>
  <c r="U161" i="10"/>
  <c r="V161" i="10"/>
  <c r="W161" i="10"/>
  <c r="X161" i="10"/>
  <c r="Y161" i="10"/>
  <c r="Z161" i="10"/>
  <c r="P162" i="10"/>
  <c r="U162" i="10"/>
  <c r="V162" i="10"/>
  <c r="W162" i="10"/>
  <c r="X162" i="10"/>
  <c r="Y162" i="10"/>
  <c r="Z162" i="10"/>
  <c r="P163" i="10"/>
  <c r="U163" i="10"/>
  <c r="V163" i="10"/>
  <c r="W163" i="10"/>
  <c r="X163" i="10"/>
  <c r="Y163" i="10"/>
  <c r="Z163" i="10"/>
  <c r="V164" i="10"/>
  <c r="W164" i="10"/>
  <c r="X164" i="10"/>
  <c r="Y164" i="10"/>
  <c r="Z164" i="10"/>
  <c r="P165" i="10"/>
  <c r="U165" i="10"/>
  <c r="V165" i="10"/>
  <c r="W165" i="10"/>
  <c r="X165" i="10"/>
  <c r="Y165" i="10"/>
  <c r="Z165" i="10"/>
  <c r="P166" i="10"/>
  <c r="U166" i="10" s="1"/>
  <c r="X166" i="10"/>
  <c r="Y166" i="10"/>
  <c r="Z166" i="10"/>
  <c r="V167" i="10"/>
  <c r="W167" i="10"/>
  <c r="X167" i="10"/>
  <c r="Y167" i="10"/>
  <c r="Z167" i="10"/>
  <c r="P168" i="10"/>
  <c r="U168" i="10" s="1"/>
  <c r="V168" i="10"/>
  <c r="W168" i="10"/>
  <c r="X168" i="10"/>
  <c r="Y168" i="10"/>
  <c r="Z168" i="10"/>
  <c r="P169" i="10"/>
  <c r="U169" i="10" s="1"/>
  <c r="V169" i="10"/>
  <c r="W169" i="10"/>
  <c r="X169" i="10"/>
  <c r="Y169" i="10"/>
  <c r="Z169" i="10"/>
  <c r="P170" i="10"/>
  <c r="U170" i="10"/>
  <c r="V170" i="10"/>
  <c r="W170" i="10"/>
  <c r="X170" i="10"/>
  <c r="Y170" i="10"/>
  <c r="Z170" i="10"/>
  <c r="P171" i="10"/>
  <c r="X171" i="10"/>
  <c r="Y171" i="10"/>
  <c r="Z171" i="10"/>
  <c r="P172" i="10"/>
  <c r="U172" i="10"/>
  <c r="V172" i="10"/>
  <c r="W172" i="10"/>
  <c r="X172" i="10"/>
  <c r="Y172" i="10"/>
  <c r="Z172" i="10"/>
  <c r="P173" i="10"/>
  <c r="U173" i="10"/>
  <c r="V173" i="10"/>
  <c r="W173" i="10"/>
  <c r="X173" i="10"/>
  <c r="Y173" i="10"/>
  <c r="Z173" i="10"/>
  <c r="P174" i="10"/>
  <c r="U174" i="10"/>
  <c r="V174" i="10"/>
  <c r="W174" i="10"/>
  <c r="X174" i="10"/>
  <c r="Y174" i="10"/>
  <c r="Z174" i="10"/>
  <c r="P175" i="10"/>
  <c r="U175" i="10"/>
  <c r="V175" i="10"/>
  <c r="W175" i="10"/>
  <c r="X175" i="10"/>
  <c r="Y175" i="10"/>
  <c r="Z175" i="10"/>
  <c r="P176" i="10"/>
  <c r="U176" i="10"/>
  <c r="V176" i="10"/>
  <c r="W176" i="10"/>
  <c r="X176" i="10"/>
  <c r="Y176" i="10"/>
  <c r="Z176" i="10"/>
  <c r="P177" i="10"/>
  <c r="U177" i="10"/>
  <c r="V177" i="10"/>
  <c r="W177" i="10"/>
  <c r="X177" i="10"/>
  <c r="Y177" i="10"/>
  <c r="Z177" i="10"/>
  <c r="P178" i="10"/>
  <c r="W178" i="10" s="1"/>
  <c r="X178" i="10"/>
  <c r="Y178" i="10"/>
  <c r="Z178" i="10"/>
  <c r="P179" i="10"/>
  <c r="U179" i="10"/>
  <c r="V179" i="10"/>
  <c r="W179" i="10"/>
  <c r="X179" i="10"/>
  <c r="Y179" i="10"/>
  <c r="Z179" i="10"/>
  <c r="P180" i="10"/>
  <c r="U180" i="10"/>
  <c r="V180" i="10"/>
  <c r="W180" i="10"/>
  <c r="X180" i="10"/>
  <c r="Y180" i="10"/>
  <c r="Z180" i="10"/>
  <c r="P181" i="10"/>
  <c r="U181" i="10"/>
  <c r="V181" i="10"/>
  <c r="W181" i="10"/>
  <c r="X181" i="10"/>
  <c r="Y181" i="10"/>
  <c r="Z181" i="10"/>
  <c r="P182" i="10"/>
  <c r="U182" i="10"/>
  <c r="V182" i="10"/>
  <c r="W182" i="10"/>
  <c r="X182" i="10"/>
  <c r="Y182" i="10"/>
  <c r="Z182" i="10"/>
  <c r="P183" i="10"/>
  <c r="V183" i="10"/>
  <c r="W183" i="10"/>
  <c r="X183" i="10"/>
  <c r="Y183" i="10"/>
  <c r="Z183" i="10"/>
  <c r="P184" i="10"/>
  <c r="U184" i="10"/>
  <c r="V184" i="10"/>
  <c r="W184" i="10"/>
  <c r="X184" i="10"/>
  <c r="Y184" i="10"/>
  <c r="Z184" i="10"/>
  <c r="P185" i="10"/>
  <c r="U185" i="10" s="1"/>
  <c r="V185" i="10"/>
  <c r="W185" i="10"/>
  <c r="X185" i="10"/>
  <c r="Y185" i="10"/>
  <c r="Z185" i="10"/>
  <c r="P186" i="10"/>
  <c r="U186" i="10" s="1"/>
  <c r="V186" i="10"/>
  <c r="W186" i="10"/>
  <c r="X186" i="10"/>
  <c r="Y186" i="10"/>
  <c r="Z186" i="10"/>
  <c r="P187" i="10"/>
  <c r="U187" i="10"/>
  <c r="V187" i="10"/>
  <c r="W187" i="10"/>
  <c r="X187" i="10"/>
  <c r="Y187" i="10"/>
  <c r="Z187" i="10"/>
  <c r="P188" i="10"/>
  <c r="U188" i="10"/>
  <c r="V188" i="10"/>
  <c r="W188" i="10"/>
  <c r="X188" i="10"/>
  <c r="Y188" i="10"/>
  <c r="Z188" i="10"/>
  <c r="P189" i="10"/>
  <c r="U189" i="10"/>
  <c r="V189" i="10"/>
  <c r="W189" i="10"/>
  <c r="X189" i="10"/>
  <c r="Y189" i="10"/>
  <c r="Z189" i="10"/>
  <c r="P190" i="10"/>
  <c r="W190" i="10" s="1"/>
  <c r="X190" i="10"/>
  <c r="Y190" i="10"/>
  <c r="Z190" i="10"/>
  <c r="P191" i="10"/>
  <c r="X191" i="10"/>
  <c r="Y191" i="10"/>
  <c r="Z191" i="10"/>
  <c r="P192" i="10"/>
  <c r="U192" i="10" s="1"/>
  <c r="X192" i="10"/>
  <c r="Y192" i="10"/>
  <c r="Z192" i="10"/>
  <c r="P193" i="10"/>
  <c r="U193" i="10" s="1"/>
  <c r="X193" i="10"/>
  <c r="Y193" i="10"/>
  <c r="Z193" i="10"/>
  <c r="P194" i="10"/>
  <c r="W194" i="10" s="1"/>
  <c r="X194" i="10"/>
  <c r="Y194" i="10"/>
  <c r="Z194" i="10"/>
  <c r="P195" i="10"/>
  <c r="U195" i="10"/>
  <c r="V195" i="10"/>
  <c r="W195" i="10"/>
  <c r="X195" i="10"/>
  <c r="Y195" i="10"/>
  <c r="Z195" i="10"/>
  <c r="P196" i="10"/>
  <c r="U196" i="10"/>
  <c r="V196" i="10"/>
  <c r="W196" i="10"/>
  <c r="X196" i="10"/>
  <c r="Y196" i="10"/>
  <c r="Z196" i="10"/>
  <c r="P197" i="10"/>
  <c r="U197" i="10" s="1"/>
  <c r="X197" i="10"/>
  <c r="Y197" i="10"/>
  <c r="Z197" i="10"/>
  <c r="P198" i="10"/>
  <c r="U198" i="10"/>
  <c r="V198" i="10"/>
  <c r="W198" i="10"/>
  <c r="X198" i="10"/>
  <c r="Y198" i="10"/>
  <c r="Z198" i="10"/>
  <c r="P199" i="10"/>
  <c r="U199" i="10"/>
  <c r="V199" i="10"/>
  <c r="W199" i="10"/>
  <c r="X199" i="10"/>
  <c r="Y199" i="10"/>
  <c r="Z199" i="10"/>
  <c r="P200" i="10"/>
  <c r="U200" i="10"/>
  <c r="V200" i="10"/>
  <c r="W200" i="10"/>
  <c r="X200" i="10"/>
  <c r="Y200" i="10"/>
  <c r="Z200" i="10"/>
  <c r="P201" i="10"/>
  <c r="U201" i="10"/>
  <c r="V201" i="10"/>
  <c r="W201" i="10"/>
  <c r="X201" i="10"/>
  <c r="Y201" i="10"/>
  <c r="Z201" i="10"/>
  <c r="P202" i="10"/>
  <c r="U202" i="10"/>
  <c r="V202" i="10"/>
  <c r="W202" i="10"/>
  <c r="X202" i="10"/>
  <c r="Y202" i="10"/>
  <c r="Z202" i="10"/>
  <c r="P203" i="10"/>
  <c r="U203" i="10" s="1"/>
  <c r="V203" i="10"/>
  <c r="W203" i="10"/>
  <c r="X203" i="10"/>
  <c r="Y203" i="10"/>
  <c r="Z203" i="10"/>
  <c r="P204" i="10"/>
  <c r="U204" i="10" s="1"/>
  <c r="V204" i="10"/>
  <c r="W204" i="10"/>
  <c r="X204" i="10"/>
  <c r="Y204" i="10"/>
  <c r="Z204" i="10"/>
  <c r="P205" i="10"/>
  <c r="U205" i="10" s="1"/>
  <c r="X205" i="10"/>
  <c r="Y205" i="10"/>
  <c r="Z205" i="10"/>
  <c r="P206" i="10"/>
  <c r="U206" i="10"/>
  <c r="V206" i="10"/>
  <c r="W206" i="10"/>
  <c r="X206" i="10"/>
  <c r="Y206" i="10"/>
  <c r="Z206" i="10"/>
  <c r="P207" i="10"/>
  <c r="U207" i="10"/>
  <c r="V207" i="10"/>
  <c r="W207" i="10"/>
  <c r="X207" i="10"/>
  <c r="Y207" i="10"/>
  <c r="Z207" i="10"/>
  <c r="P208" i="10"/>
  <c r="U208" i="10"/>
  <c r="V208" i="10"/>
  <c r="W208" i="10"/>
  <c r="X208" i="10"/>
  <c r="Y208" i="10"/>
  <c r="Z208" i="10"/>
  <c r="P209" i="10"/>
  <c r="U209" i="10" s="1"/>
  <c r="X209" i="10"/>
  <c r="Y209" i="10"/>
  <c r="Z209" i="10"/>
  <c r="P210" i="10"/>
  <c r="U210" i="10"/>
  <c r="V210" i="10"/>
  <c r="W210" i="10"/>
  <c r="X210" i="10"/>
  <c r="Y210" i="10"/>
  <c r="Z210" i="10"/>
  <c r="P211" i="10"/>
  <c r="X211" i="10"/>
  <c r="Y211" i="10"/>
  <c r="Z211" i="10"/>
  <c r="P212" i="10"/>
  <c r="W212" i="10" s="1"/>
  <c r="X212" i="10"/>
  <c r="Y212" i="10"/>
  <c r="Z212" i="10"/>
  <c r="P213" i="10"/>
  <c r="U213" i="10" s="1"/>
  <c r="Y213" i="10"/>
  <c r="Z213" i="10"/>
  <c r="P214" i="10"/>
  <c r="X214" i="10"/>
  <c r="Y214" i="10"/>
  <c r="Z214" i="10"/>
  <c r="P215" i="10"/>
  <c r="X215" i="10"/>
  <c r="Y215" i="10"/>
  <c r="Z215" i="10"/>
  <c r="P216" i="10"/>
  <c r="U216" i="10"/>
  <c r="V216" i="10"/>
  <c r="W216" i="10"/>
  <c r="X216" i="10"/>
  <c r="Y216" i="10"/>
  <c r="Z216" i="10"/>
  <c r="P217" i="10"/>
  <c r="U217" i="10"/>
  <c r="V217" i="10"/>
  <c r="W217" i="10"/>
  <c r="X217" i="10"/>
  <c r="Y217" i="10"/>
  <c r="Z217" i="10"/>
  <c r="P218" i="10"/>
  <c r="U218" i="10"/>
  <c r="V218" i="10"/>
  <c r="W218" i="10"/>
  <c r="X218" i="10"/>
  <c r="Y218" i="10"/>
  <c r="Z218" i="10"/>
  <c r="P219" i="10"/>
  <c r="U219" i="10"/>
  <c r="V219" i="10"/>
  <c r="W219" i="10"/>
  <c r="X219" i="10"/>
  <c r="Y219" i="10"/>
  <c r="Z219" i="10"/>
  <c r="P220" i="10"/>
  <c r="U220" i="10"/>
  <c r="V220" i="10"/>
  <c r="W220" i="10"/>
  <c r="X220" i="10"/>
  <c r="Y220" i="10"/>
  <c r="Z220" i="10"/>
  <c r="P221" i="10"/>
  <c r="U221" i="10"/>
  <c r="V221" i="10"/>
  <c r="W221" i="10"/>
  <c r="X221" i="10"/>
  <c r="Y221" i="10"/>
  <c r="Z221" i="10"/>
  <c r="P222" i="10"/>
  <c r="W222" i="10" s="1"/>
  <c r="X222" i="10"/>
  <c r="Y222" i="10"/>
  <c r="Z222" i="10"/>
  <c r="P223" i="10"/>
  <c r="X223" i="10"/>
  <c r="Y223" i="10"/>
  <c r="Z223" i="10"/>
  <c r="P224" i="10"/>
  <c r="U224" i="10" s="1"/>
  <c r="V224" i="10"/>
  <c r="W224" i="10"/>
  <c r="X224" i="10"/>
  <c r="Y224" i="10"/>
  <c r="Z224" i="10"/>
  <c r="P225" i="10"/>
  <c r="U225" i="10"/>
  <c r="V225" i="10"/>
  <c r="W225" i="10"/>
  <c r="X225" i="10"/>
  <c r="Y225" i="10"/>
  <c r="Z225" i="10"/>
  <c r="P226" i="10"/>
  <c r="U226" i="10"/>
  <c r="V226" i="10"/>
  <c r="W226" i="10"/>
  <c r="X226" i="10"/>
  <c r="Y226" i="10"/>
  <c r="Z226" i="10"/>
  <c r="P227" i="10"/>
  <c r="U227" i="10"/>
  <c r="V227" i="10"/>
  <c r="W227" i="10"/>
  <c r="X227" i="10"/>
  <c r="Y227" i="10"/>
  <c r="Z227" i="10"/>
  <c r="P228" i="10"/>
  <c r="U228" i="10"/>
  <c r="V228" i="10"/>
  <c r="W228" i="10"/>
  <c r="X228" i="10"/>
  <c r="Y228" i="10"/>
  <c r="Z228" i="10"/>
  <c r="P229" i="10"/>
  <c r="U229" i="10"/>
  <c r="V229" i="10"/>
  <c r="W229" i="10"/>
  <c r="X229" i="10"/>
  <c r="Y229" i="10"/>
  <c r="Z229" i="10"/>
  <c r="P230" i="10"/>
  <c r="U230" i="10"/>
  <c r="V230" i="10"/>
  <c r="W230" i="10"/>
  <c r="X230" i="10"/>
  <c r="Y230" i="10"/>
  <c r="Z230" i="10"/>
  <c r="P231" i="10"/>
  <c r="U231" i="10"/>
  <c r="V231" i="10"/>
  <c r="W231" i="10"/>
  <c r="X231" i="10"/>
  <c r="Y231" i="10"/>
  <c r="Z231" i="10"/>
  <c r="P232" i="10"/>
  <c r="U232" i="10"/>
  <c r="V232" i="10"/>
  <c r="W232" i="10"/>
  <c r="X232" i="10"/>
  <c r="Y232" i="10"/>
  <c r="Z232" i="10"/>
  <c r="P233" i="10"/>
  <c r="U233" i="10"/>
  <c r="V233" i="10"/>
  <c r="W233" i="10"/>
  <c r="X233" i="10"/>
  <c r="Y233" i="10"/>
  <c r="Z233" i="10"/>
  <c r="P234" i="10"/>
  <c r="U234" i="10"/>
  <c r="V234" i="10"/>
  <c r="W234" i="10"/>
  <c r="X234" i="10"/>
  <c r="Y234" i="10"/>
  <c r="Z234" i="10"/>
  <c r="P235" i="10"/>
  <c r="U235" i="10"/>
  <c r="V235" i="10"/>
  <c r="W235" i="10"/>
  <c r="X235" i="10"/>
  <c r="Y235" i="10"/>
  <c r="Z235" i="10"/>
  <c r="P236" i="10"/>
  <c r="U236" i="10"/>
  <c r="V236" i="10"/>
  <c r="W236" i="10"/>
  <c r="X236" i="10"/>
  <c r="Y236" i="10"/>
  <c r="Z236" i="10"/>
  <c r="P237" i="10"/>
  <c r="U237" i="10"/>
  <c r="V237" i="10"/>
  <c r="W237" i="10"/>
  <c r="X237" i="10"/>
  <c r="Y237" i="10"/>
  <c r="Z237" i="10"/>
  <c r="P238" i="10"/>
  <c r="U238" i="10"/>
  <c r="V238" i="10"/>
  <c r="W238" i="10"/>
  <c r="X238" i="10"/>
  <c r="Y238" i="10"/>
  <c r="Z238" i="10"/>
  <c r="P239" i="10"/>
  <c r="U239" i="10"/>
  <c r="V239" i="10"/>
  <c r="W239" i="10"/>
  <c r="X239" i="10"/>
  <c r="Y239" i="10"/>
  <c r="Z239" i="10"/>
  <c r="P241" i="10"/>
  <c r="U241" i="10"/>
  <c r="V241" i="10"/>
  <c r="W241" i="10"/>
  <c r="X241" i="10"/>
  <c r="Y241" i="10"/>
  <c r="Z241" i="10"/>
  <c r="P242" i="10"/>
  <c r="X242" i="10"/>
  <c r="Y242" i="10"/>
  <c r="Z242" i="10"/>
  <c r="P243" i="10"/>
  <c r="W243" i="10" s="1"/>
  <c r="X243" i="10"/>
  <c r="Y243" i="10"/>
  <c r="Z243" i="10"/>
  <c r="P244" i="10"/>
  <c r="X244" i="10" s="1"/>
  <c r="Y244" i="10"/>
  <c r="Z244" i="10"/>
  <c r="P245" i="10"/>
  <c r="X245" i="10" s="1"/>
  <c r="Y245" i="10"/>
  <c r="Z245" i="10"/>
  <c r="P246" i="10"/>
  <c r="V246" i="10" s="1"/>
  <c r="Y246" i="10"/>
  <c r="Z246" i="10"/>
  <c r="P247" i="10"/>
  <c r="W247" i="10" s="1"/>
  <c r="Y247" i="10"/>
  <c r="Z247" i="10"/>
  <c r="P248" i="10"/>
  <c r="X248" i="10" s="1"/>
  <c r="Y248" i="10"/>
  <c r="Z248" i="10"/>
  <c r="P249" i="10"/>
  <c r="X249" i="10"/>
  <c r="Y249" i="10"/>
  <c r="Z249" i="10"/>
  <c r="P250" i="10"/>
  <c r="U250" i="10" s="1"/>
  <c r="X250" i="10"/>
  <c r="Y250" i="10"/>
  <c r="Z250" i="10"/>
  <c r="P251" i="10"/>
  <c r="U251" i="10"/>
  <c r="V251" i="10"/>
  <c r="W251" i="10"/>
  <c r="X251" i="10"/>
  <c r="Y251" i="10"/>
  <c r="Z251" i="10"/>
  <c r="P252" i="10"/>
  <c r="X252" i="10"/>
  <c r="Y252" i="10"/>
  <c r="Z252" i="10"/>
  <c r="P253" i="10"/>
  <c r="X253" i="10"/>
  <c r="Y253" i="10"/>
  <c r="Z253" i="10"/>
  <c r="P254" i="10"/>
  <c r="X254" i="10"/>
  <c r="Y254" i="10"/>
  <c r="Z254" i="10"/>
  <c r="P255" i="10"/>
  <c r="W255" i="10" s="1"/>
  <c r="X255" i="10"/>
  <c r="Y255" i="10"/>
  <c r="Z255" i="10"/>
  <c r="P256" i="10"/>
  <c r="U256" i="10"/>
  <c r="V256" i="10"/>
  <c r="W256" i="10"/>
  <c r="X256" i="10"/>
  <c r="Y256" i="10"/>
  <c r="Z256" i="10"/>
  <c r="P257" i="10"/>
  <c r="U257" i="10"/>
  <c r="V257" i="10"/>
  <c r="W257" i="10"/>
  <c r="X257" i="10"/>
  <c r="Y257" i="10"/>
  <c r="Z257" i="10"/>
  <c r="P258" i="10"/>
  <c r="U258" i="10"/>
  <c r="V258" i="10"/>
  <c r="W258" i="10"/>
  <c r="X258" i="10"/>
  <c r="Y258" i="10"/>
  <c r="Z258" i="10"/>
  <c r="P259" i="10"/>
  <c r="U259" i="10"/>
  <c r="V259" i="10"/>
  <c r="W259" i="10"/>
  <c r="X259" i="10"/>
  <c r="Y259" i="10"/>
  <c r="Z259" i="10"/>
  <c r="P260" i="10"/>
  <c r="U260" i="10" s="1"/>
  <c r="X260" i="10"/>
  <c r="Y260" i="10"/>
  <c r="Z260" i="10"/>
  <c r="P261" i="10"/>
  <c r="U261" i="10" s="1"/>
  <c r="X261" i="10"/>
  <c r="Y261" i="10"/>
  <c r="Z261" i="10"/>
  <c r="P262" i="10"/>
  <c r="X262" i="10"/>
  <c r="Y262" i="10"/>
  <c r="Z262" i="10"/>
  <c r="P263" i="10"/>
  <c r="W263" i="10" s="1"/>
  <c r="X263" i="10"/>
  <c r="Y263" i="10"/>
  <c r="Z263" i="10"/>
  <c r="P264" i="10"/>
  <c r="U264" i="10"/>
  <c r="V264" i="10"/>
  <c r="W264" i="10"/>
  <c r="X264" i="10"/>
  <c r="Y264" i="10"/>
  <c r="Z264" i="10"/>
  <c r="P265" i="10"/>
  <c r="U265" i="10"/>
  <c r="V265" i="10"/>
  <c r="W265" i="10"/>
  <c r="X265" i="10"/>
  <c r="Y265" i="10"/>
  <c r="Z265" i="10"/>
  <c r="P266" i="10"/>
  <c r="U266" i="10"/>
  <c r="V266" i="10"/>
  <c r="W266" i="10"/>
  <c r="X266" i="10"/>
  <c r="Y266" i="10"/>
  <c r="Z266" i="10"/>
  <c r="P267" i="10"/>
  <c r="U267" i="10"/>
  <c r="V267" i="10"/>
  <c r="W267" i="10"/>
  <c r="X267" i="10"/>
  <c r="Y267" i="10"/>
  <c r="Z267" i="10"/>
  <c r="P268" i="10"/>
  <c r="U268" i="10"/>
  <c r="V268" i="10"/>
  <c r="W268" i="10"/>
  <c r="X268" i="10"/>
  <c r="Y268" i="10"/>
  <c r="Z268" i="10"/>
  <c r="P269" i="10"/>
  <c r="U269" i="10"/>
  <c r="V269" i="10"/>
  <c r="W269" i="10"/>
  <c r="X269" i="10"/>
  <c r="Y269" i="10"/>
  <c r="Z269" i="10"/>
  <c r="P270" i="10"/>
  <c r="U270" i="10"/>
  <c r="V270" i="10"/>
  <c r="W270" i="10"/>
  <c r="X270" i="10"/>
  <c r="Y270" i="10"/>
  <c r="Z270" i="10"/>
  <c r="P271" i="10"/>
  <c r="U271" i="10"/>
  <c r="V271" i="10"/>
  <c r="W271" i="10"/>
  <c r="X271" i="10"/>
  <c r="Y271" i="10"/>
  <c r="Z271" i="10"/>
  <c r="P272" i="10"/>
  <c r="U272" i="10"/>
  <c r="V272" i="10"/>
  <c r="W272" i="10"/>
  <c r="X272" i="10"/>
  <c r="Y272" i="10"/>
  <c r="Z272" i="10"/>
  <c r="P273" i="10"/>
  <c r="U273" i="10"/>
  <c r="V273" i="10"/>
  <c r="W273" i="10"/>
  <c r="X273" i="10"/>
  <c r="Y273" i="10"/>
  <c r="Z273" i="10"/>
  <c r="P274" i="10"/>
  <c r="U274" i="10"/>
  <c r="V274" i="10"/>
  <c r="W274" i="10"/>
  <c r="X274" i="10"/>
  <c r="Y274" i="10"/>
  <c r="Z274" i="10"/>
  <c r="P275" i="10"/>
  <c r="U275" i="10"/>
  <c r="V275" i="10"/>
  <c r="W275" i="10"/>
  <c r="X275" i="10"/>
  <c r="Y275" i="10"/>
  <c r="Z275" i="10"/>
  <c r="P276" i="10"/>
  <c r="U276" i="10"/>
  <c r="V276" i="10"/>
  <c r="W276" i="10"/>
  <c r="X276" i="10"/>
  <c r="Y276" i="10"/>
  <c r="Z276" i="10"/>
  <c r="P277" i="10"/>
  <c r="U277" i="10"/>
  <c r="V277" i="10"/>
  <c r="W277" i="10"/>
  <c r="X277" i="10"/>
  <c r="Y277" i="10"/>
  <c r="Z277" i="10"/>
  <c r="P278" i="10"/>
  <c r="U278" i="10"/>
  <c r="V278" i="10"/>
  <c r="W278" i="10"/>
  <c r="X278" i="10"/>
  <c r="Y278" i="10"/>
  <c r="Z278" i="10"/>
  <c r="K268" i="10"/>
  <c r="K269" i="10"/>
  <c r="K270" i="10"/>
  <c r="K271" i="10"/>
  <c r="K272" i="10"/>
  <c r="K273" i="10"/>
  <c r="K274" i="10"/>
  <c r="K275" i="10"/>
  <c r="K276" i="10"/>
  <c r="K277" i="10"/>
  <c r="K278" i="10"/>
  <c r="V197" i="10" l="1"/>
  <c r="V40" i="10"/>
  <c r="V34" i="10"/>
  <c r="V16" i="10"/>
  <c r="V36" i="10"/>
  <c r="V249" i="10"/>
  <c r="X5" i="10"/>
  <c r="W5" i="10"/>
  <c r="V20" i="10"/>
  <c r="V59" i="10"/>
  <c r="V248" i="10"/>
  <c r="V122" i="10"/>
  <c r="W114" i="10"/>
  <c r="W48" i="10"/>
  <c r="U178" i="10"/>
  <c r="Q178" i="10" s="1"/>
  <c r="V112" i="10"/>
  <c r="W112" i="10"/>
  <c r="Y88" i="10"/>
  <c r="W86" i="10"/>
  <c r="X85" i="10"/>
  <c r="V244" i="10"/>
  <c r="U245" i="10"/>
  <c r="R245" i="10" s="1"/>
  <c r="V125" i="10"/>
  <c r="V103" i="10"/>
  <c r="U94" i="10"/>
  <c r="R94" i="10" s="1"/>
  <c r="V247" i="10"/>
  <c r="W249" i="10"/>
  <c r="V193" i="10"/>
  <c r="U126" i="10"/>
  <c r="S126" i="10" s="1"/>
  <c r="U122" i="10"/>
  <c r="Q122" i="10" s="1"/>
  <c r="V113" i="10"/>
  <c r="V69" i="10"/>
  <c r="V19" i="10"/>
  <c r="V260" i="10"/>
  <c r="V252" i="10"/>
  <c r="U194" i="10"/>
  <c r="T194" i="10" s="1"/>
  <c r="W62" i="10"/>
  <c r="V55" i="10"/>
  <c r="V253" i="10"/>
  <c r="W245" i="10"/>
  <c r="V222" i="10"/>
  <c r="U222" i="10"/>
  <c r="Q222" i="10" s="1"/>
  <c r="V212" i="10"/>
  <c r="W192" i="10"/>
  <c r="U102" i="10"/>
  <c r="T102" i="10" s="1"/>
  <c r="W100" i="10"/>
  <c r="U84" i="10"/>
  <c r="R84" i="10" s="1"/>
  <c r="V71" i="10"/>
  <c r="U66" i="10"/>
  <c r="R66" i="10" s="1"/>
  <c r="V53" i="10"/>
  <c r="V57" i="10"/>
  <c r="V26" i="10"/>
  <c r="W54" i="10"/>
  <c r="W39" i="10"/>
  <c r="W261" i="10"/>
  <c r="V211" i="10"/>
  <c r="W166" i="10"/>
  <c r="V254" i="10"/>
  <c r="V209" i="10"/>
  <c r="X102" i="10"/>
  <c r="V79" i="10"/>
  <c r="V38" i="10"/>
  <c r="V261" i="10"/>
  <c r="U249" i="10"/>
  <c r="Q249" i="10" s="1"/>
  <c r="X247" i="10"/>
  <c r="V242" i="10"/>
  <c r="V213" i="10"/>
  <c r="V194" i="10"/>
  <c r="V119" i="10"/>
  <c r="V102" i="10"/>
  <c r="W104" i="10"/>
  <c r="W92" i="10"/>
  <c r="V85" i="10"/>
  <c r="U74" i="10"/>
  <c r="T74" i="10" s="1"/>
  <c r="U72" i="10"/>
  <c r="T72" i="10" s="1"/>
  <c r="V64" i="10"/>
  <c r="U64" i="10"/>
  <c r="S64" i="10" s="1"/>
  <c r="U52" i="10"/>
  <c r="S52" i="10" s="1"/>
  <c r="V37" i="10"/>
  <c r="U37" i="10"/>
  <c r="S37" i="10" s="1"/>
  <c r="V18" i="10"/>
  <c r="W253" i="10"/>
  <c r="U247" i="10"/>
  <c r="R247" i="10" s="1"/>
  <c r="X246" i="10"/>
  <c r="V214" i="10"/>
  <c r="V263" i="10"/>
  <c r="U263" i="10"/>
  <c r="T263" i="10" s="1"/>
  <c r="U214" i="10"/>
  <c r="T214" i="10" s="1"/>
  <c r="X213" i="10"/>
  <c r="V109" i="10"/>
  <c r="V87" i="10"/>
  <c r="V77" i="10"/>
  <c r="L277" i="10"/>
  <c r="V262" i="10"/>
  <c r="U255" i="10"/>
  <c r="R255" i="10" s="1"/>
  <c r="U243" i="10"/>
  <c r="R243" i="10" s="1"/>
  <c r="V215" i="10"/>
  <c r="W214" i="10"/>
  <c r="U212" i="10"/>
  <c r="T212" i="10" s="1"/>
  <c r="U190" i="10"/>
  <c r="R190" i="10" s="1"/>
  <c r="V178" i="10"/>
  <c r="V171" i="10"/>
  <c r="V123" i="10"/>
  <c r="U120" i="10"/>
  <c r="S120" i="10" s="1"/>
  <c r="U106" i="10"/>
  <c r="R106" i="10" s="1"/>
  <c r="V98" i="10"/>
  <c r="U98" i="10"/>
  <c r="S98" i="10" s="1"/>
  <c r="V92" i="10"/>
  <c r="V93" i="10"/>
  <c r="U88" i="10"/>
  <c r="R88" i="10" s="1"/>
  <c r="X87" i="10"/>
  <c r="V75" i="10"/>
  <c r="W74" i="10"/>
  <c r="X67" i="10"/>
  <c r="V65" i="10"/>
  <c r="W64" i="10"/>
  <c r="V61" i="10"/>
  <c r="U56" i="10"/>
  <c r="S56" i="10" s="1"/>
  <c r="V49" i="10"/>
  <c r="V48" i="10"/>
  <c r="U50" i="10"/>
  <c r="T50" i="10" s="1"/>
  <c r="U46" i="10"/>
  <c r="T46" i="10" s="1"/>
  <c r="V39" i="10"/>
  <c r="U21" i="10"/>
  <c r="Q21" i="10" s="1"/>
  <c r="V105" i="10"/>
  <c r="L275" i="10"/>
  <c r="L271" i="10"/>
  <c r="L272" i="10"/>
  <c r="U253" i="10"/>
  <c r="T253" i="10" s="1"/>
  <c r="V205" i="10"/>
  <c r="V190" i="10"/>
  <c r="V121" i="10"/>
  <c r="V115" i="10"/>
  <c r="X98" i="10"/>
  <c r="V89" i="10"/>
  <c r="X88" i="10"/>
  <c r="V51" i="10"/>
  <c r="U39" i="10"/>
  <c r="R39" i="10" s="1"/>
  <c r="U25" i="10"/>
  <c r="Q25" i="10" s="1"/>
  <c r="V191" i="10"/>
  <c r="V99" i="10"/>
  <c r="V91" i="10"/>
  <c r="L278" i="10"/>
  <c r="U262" i="10"/>
  <c r="Q262" i="10" s="1"/>
  <c r="W260" i="10"/>
  <c r="V255" i="10"/>
  <c r="U254" i="10"/>
  <c r="R254" i="10" s="1"/>
  <c r="W252" i="10"/>
  <c r="V245" i="10"/>
  <c r="W250" i="10"/>
  <c r="V243" i="10"/>
  <c r="U248" i="10"/>
  <c r="S248" i="10" s="1"/>
  <c r="V223" i="10"/>
  <c r="W223" i="10"/>
  <c r="U223" i="10"/>
  <c r="R223" i="10" s="1"/>
  <c r="U242" i="10"/>
  <c r="R242" i="10" s="1"/>
  <c r="W242" i="10"/>
  <c r="W262" i="10"/>
  <c r="W254" i="10"/>
  <c r="U252" i="10"/>
  <c r="S252" i="10" s="1"/>
  <c r="V250" i="10"/>
  <c r="W248" i="10"/>
  <c r="W244" i="10"/>
  <c r="U244" i="10"/>
  <c r="S244" i="10" s="1"/>
  <c r="U246" i="10"/>
  <c r="Q246" i="10" s="1"/>
  <c r="W246" i="10"/>
  <c r="U215" i="10"/>
  <c r="Q215" i="10" s="1"/>
  <c r="W213" i="10"/>
  <c r="U211" i="10"/>
  <c r="R211" i="10" s="1"/>
  <c r="W209" i="10"/>
  <c r="W205" i="10"/>
  <c r="W197" i="10"/>
  <c r="W193" i="10"/>
  <c r="V192" i="10"/>
  <c r="U191" i="10"/>
  <c r="T191" i="10" s="1"/>
  <c r="U183" i="10"/>
  <c r="R183" i="10" s="1"/>
  <c r="U171" i="10"/>
  <c r="T171" i="10" s="1"/>
  <c r="V166" i="10"/>
  <c r="W125" i="10"/>
  <c r="U123" i="10"/>
  <c r="S123" i="10" s="1"/>
  <c r="W121" i="10"/>
  <c r="V120" i="10"/>
  <c r="U119" i="10"/>
  <c r="Q119" i="10" s="1"/>
  <c r="U115" i="10"/>
  <c r="S115" i="10" s="1"/>
  <c r="W113" i="10"/>
  <c r="U109" i="10"/>
  <c r="R109" i="10" s="1"/>
  <c r="U105" i="10"/>
  <c r="Q105" i="10" s="1"/>
  <c r="W103" i="10"/>
  <c r="V100" i="10"/>
  <c r="U99" i="10"/>
  <c r="T99" i="10" s="1"/>
  <c r="W93" i="10"/>
  <c r="U91" i="10"/>
  <c r="Q91" i="10" s="1"/>
  <c r="W89" i="10"/>
  <c r="V88" i="10"/>
  <c r="U87" i="10"/>
  <c r="Q87" i="10" s="1"/>
  <c r="W85" i="10"/>
  <c r="V84" i="10"/>
  <c r="V80" i="10"/>
  <c r="U79" i="10"/>
  <c r="Q79" i="10" s="1"/>
  <c r="W77" i="10"/>
  <c r="U75" i="10"/>
  <c r="R75" i="10" s="1"/>
  <c r="V72" i="10"/>
  <c r="U71" i="10"/>
  <c r="S71" i="10" s="1"/>
  <c r="W67" i="10"/>
  <c r="V66" i="10"/>
  <c r="U65" i="10"/>
  <c r="S65" i="10" s="1"/>
  <c r="W63" i="10"/>
  <c r="V62" i="10"/>
  <c r="U61" i="10"/>
  <c r="R61" i="10" s="1"/>
  <c r="W59" i="10"/>
  <c r="U57" i="10"/>
  <c r="S57" i="10" s="1"/>
  <c r="W55" i="10"/>
  <c r="V54" i="10"/>
  <c r="U53" i="10"/>
  <c r="Q53" i="10" s="1"/>
  <c r="W51" i="10"/>
  <c r="V50" i="10"/>
  <c r="U49" i="10"/>
  <c r="S49" i="10" s="1"/>
  <c r="U40" i="10"/>
  <c r="T40" i="10" s="1"/>
  <c r="W38" i="10"/>
  <c r="U36" i="10"/>
  <c r="Q36" i="10" s="1"/>
  <c r="V33" i="10"/>
  <c r="V25" i="10"/>
  <c r="U24" i="10"/>
  <c r="S24" i="10" s="1"/>
  <c r="V21" i="10"/>
  <c r="U20" i="10"/>
  <c r="S20" i="10" s="1"/>
  <c r="V17" i="10"/>
  <c r="U16" i="10"/>
  <c r="S16" i="10" s="1"/>
  <c r="W215" i="10"/>
  <c r="W211" i="10"/>
  <c r="W191" i="10"/>
  <c r="W171" i="10"/>
  <c r="W123" i="10"/>
  <c r="W119" i="10"/>
  <c r="W115" i="10"/>
  <c r="V114" i="10"/>
  <c r="W109" i="10"/>
  <c r="W105" i="10"/>
  <c r="V104" i="10"/>
  <c r="U103" i="10"/>
  <c r="Q103" i="10" s="1"/>
  <c r="W99" i="10"/>
  <c r="V94" i="10"/>
  <c r="W91" i="10"/>
  <c r="W87" i="10"/>
  <c r="V86" i="10"/>
  <c r="W79" i="10"/>
  <c r="W75" i="10"/>
  <c r="V74" i="10"/>
  <c r="U73" i="10"/>
  <c r="S73" i="10" s="1"/>
  <c r="V70" i="10"/>
  <c r="U69" i="10"/>
  <c r="R69" i="10" s="1"/>
  <c r="W65" i="10"/>
  <c r="W61" i="10"/>
  <c r="W57" i="10"/>
  <c r="V56" i="10"/>
  <c r="W53" i="10"/>
  <c r="V52" i="10"/>
  <c r="U18" i="10"/>
  <c r="Q18" i="10" s="1"/>
  <c r="S278" i="10"/>
  <c r="R277" i="10"/>
  <c r="T6" i="10"/>
  <c r="S5" i="10"/>
  <c r="R256" i="10"/>
  <c r="R224" i="10"/>
  <c r="R220" i="10"/>
  <c r="R216" i="10"/>
  <c r="T264" i="10"/>
  <c r="Q251" i="10"/>
  <c r="L268" i="10"/>
  <c r="R236" i="10"/>
  <c r="R228" i="10"/>
  <c r="S33" i="10"/>
  <c r="R210" i="10"/>
  <c r="L276" i="10"/>
  <c r="R206" i="10"/>
  <c r="R202" i="10"/>
  <c r="T199" i="10"/>
  <c r="Q192" i="10"/>
  <c r="Q188" i="10"/>
  <c r="R174" i="10"/>
  <c r="T154" i="10"/>
  <c r="T150" i="10"/>
  <c r="T142" i="10"/>
  <c r="R86" i="10"/>
  <c r="R78" i="10"/>
  <c r="T70" i="10"/>
  <c r="S266" i="10"/>
  <c r="S131" i="10"/>
  <c r="S41" i="10"/>
  <c r="T229" i="10"/>
  <c r="Q203" i="10"/>
  <c r="Q196" i="10"/>
  <c r="S156" i="10"/>
  <c r="R132" i="10"/>
  <c r="R124" i="10"/>
  <c r="S84" i="10"/>
  <c r="Q59" i="10"/>
  <c r="Q51" i="10"/>
  <c r="Q35" i="10"/>
  <c r="Q19" i="10"/>
  <c r="R232" i="10"/>
  <c r="S17" i="10"/>
  <c r="S237" i="10"/>
  <c r="T221" i="10"/>
  <c r="S152" i="10"/>
  <c r="S148" i="10"/>
  <c r="S144" i="10"/>
  <c r="R136" i="10"/>
  <c r="R128" i="10"/>
  <c r="R112" i="10"/>
  <c r="Q67" i="10"/>
  <c r="Q273" i="10"/>
  <c r="T230" i="10"/>
  <c r="T226" i="10"/>
  <c r="T218" i="10"/>
  <c r="Q208" i="10"/>
  <c r="Q204" i="10"/>
  <c r="T180" i="10"/>
  <c r="T176" i="10"/>
  <c r="R166" i="10"/>
  <c r="T160" i="10"/>
  <c r="T159" i="10"/>
  <c r="R158" i="10"/>
  <c r="R82" i="10"/>
  <c r="T76" i="10"/>
  <c r="T62" i="10"/>
  <c r="T54" i="10"/>
  <c r="T38" i="10"/>
  <c r="T30" i="10"/>
  <c r="T22" i="10"/>
  <c r="T268" i="10"/>
  <c r="S257" i="10"/>
  <c r="T233" i="10"/>
  <c r="T225" i="10"/>
  <c r="S217" i="10"/>
  <c r="S213" i="10"/>
  <c r="Q207" i="10"/>
  <c r="S140" i="10"/>
  <c r="R116" i="10"/>
  <c r="S80" i="10"/>
  <c r="Q43" i="10"/>
  <c r="R272" i="10"/>
  <c r="T258" i="10"/>
  <c r="Q239" i="10"/>
  <c r="T234" i="10"/>
  <c r="Q200" i="10"/>
  <c r="Q275" i="10"/>
  <c r="T272" i="10"/>
  <c r="Q259" i="10"/>
  <c r="S250" i="10"/>
  <c r="R241" i="10"/>
  <c r="Q235" i="10"/>
  <c r="Q231" i="10"/>
  <c r="Q227" i="10"/>
  <c r="Q219" i="10"/>
  <c r="S209" i="10"/>
  <c r="S205" i="10"/>
  <c r="S201" i="10"/>
  <c r="T152" i="10"/>
  <c r="S77" i="10"/>
  <c r="Q63" i="10"/>
  <c r="Q55" i="10"/>
  <c r="Q47" i="10"/>
  <c r="Q31" i="10"/>
  <c r="Q23" i="10"/>
  <c r="R162" i="10"/>
  <c r="L273" i="10"/>
  <c r="S277" i="10"/>
  <c r="S271" i="10"/>
  <c r="L270" i="10"/>
  <c r="Q269" i="10"/>
  <c r="R268" i="10"/>
  <c r="R260" i="10"/>
  <c r="S233" i="10"/>
  <c r="S229" i="10"/>
  <c r="S225" i="10"/>
  <c r="S221" i="10"/>
  <c r="T275" i="10"/>
  <c r="T217" i="10"/>
  <c r="T213" i="10"/>
  <c r="T207" i="10"/>
  <c r="L269" i="10"/>
  <c r="S274" i="10"/>
  <c r="Q267" i="10"/>
  <c r="Q265" i="10"/>
  <c r="R264" i="10"/>
  <c r="T250" i="10"/>
  <c r="T238" i="10"/>
  <c r="Q209" i="10"/>
  <c r="L274" i="10"/>
  <c r="T237" i="10"/>
  <c r="Q277" i="10"/>
  <c r="R276" i="10"/>
  <c r="S275" i="10"/>
  <c r="S270" i="10"/>
  <c r="Q261" i="10"/>
  <c r="T257" i="10"/>
  <c r="Q205" i="10"/>
  <c r="Q201" i="10"/>
  <c r="T195" i="10"/>
  <c r="Q184" i="10"/>
  <c r="Q179" i="10"/>
  <c r="Q174" i="10"/>
  <c r="T172" i="10"/>
  <c r="Q168" i="10"/>
  <c r="Q163" i="10"/>
  <c r="Q158" i="10"/>
  <c r="R152" i="10"/>
  <c r="Q150" i="10"/>
  <c r="R144" i="10"/>
  <c r="Q142" i="10"/>
  <c r="R134" i="10"/>
  <c r="T132" i="10"/>
  <c r="Q129" i="10"/>
  <c r="T124" i="10"/>
  <c r="Q121" i="10"/>
  <c r="R118" i="10"/>
  <c r="T116" i="10"/>
  <c r="Q113" i="10"/>
  <c r="R110" i="10"/>
  <c r="T108" i="10"/>
  <c r="S107" i="10"/>
  <c r="T104" i="10"/>
  <c r="R102" i="10"/>
  <c r="T100" i="10"/>
  <c r="T96" i="10"/>
  <c r="S95" i="10"/>
  <c r="T92" i="10"/>
  <c r="R90" i="10"/>
  <c r="Q82" i="10"/>
  <c r="Q77" i="10"/>
  <c r="Q198" i="10"/>
  <c r="Q186" i="10"/>
  <c r="T184" i="10"/>
  <c r="Q180" i="10"/>
  <c r="Q175" i="10"/>
  <c r="Q170" i="10"/>
  <c r="T168" i="10"/>
  <c r="Q159" i="10"/>
  <c r="T156" i="10"/>
  <c r="R150" i="10"/>
  <c r="T148" i="10"/>
  <c r="R142" i="10"/>
  <c r="T140" i="10"/>
  <c r="Q135" i="10"/>
  <c r="S134" i="10"/>
  <c r="Q127" i="10"/>
  <c r="S118" i="10"/>
  <c r="S110" i="10"/>
  <c r="S90" i="10"/>
  <c r="T78" i="10"/>
  <c r="R70" i="10"/>
  <c r="R62" i="10"/>
  <c r="T58" i="10"/>
  <c r="R54" i="10"/>
  <c r="T42" i="10"/>
  <c r="R38" i="10"/>
  <c r="T34" i="10"/>
  <c r="R30" i="10"/>
  <c r="T26" i="10"/>
  <c r="R22" i="10"/>
  <c r="R6" i="10"/>
  <c r="T5" i="10"/>
  <c r="T203" i="10"/>
  <c r="R186" i="10"/>
  <c r="Q182" i="10"/>
  <c r="T179" i="10"/>
  <c r="Q176" i="10"/>
  <c r="R170" i="10"/>
  <c r="Q166" i="10"/>
  <c r="T163" i="10"/>
  <c r="Q160" i="10"/>
  <c r="R156" i="10"/>
  <c r="Q154" i="10"/>
  <c r="R148" i="10"/>
  <c r="Q146" i="10"/>
  <c r="R140" i="10"/>
  <c r="Q138" i="10"/>
  <c r="T136" i="10"/>
  <c r="S135" i="10"/>
  <c r="Q133" i="10"/>
  <c r="R130" i="10"/>
  <c r="T128" i="10"/>
  <c r="S127" i="10"/>
  <c r="Q125" i="10"/>
  <c r="Q117" i="10"/>
  <c r="R114" i="10"/>
  <c r="T112" i="10"/>
  <c r="R108" i="10"/>
  <c r="T107" i="10"/>
  <c r="R104" i="10"/>
  <c r="R100" i="10"/>
  <c r="R96" i="10"/>
  <c r="T95" i="10"/>
  <c r="R92" i="10"/>
  <c r="Q86" i="10"/>
  <c r="T80" i="10"/>
  <c r="Q78" i="10"/>
  <c r="Q76" i="10"/>
  <c r="R198" i="10"/>
  <c r="T187" i="10"/>
  <c r="R182" i="10"/>
  <c r="T175" i="10"/>
  <c r="Q172" i="10"/>
  <c r="Q162" i="10"/>
  <c r="R154" i="10"/>
  <c r="T146" i="10"/>
  <c r="R146" i="10"/>
  <c r="T144" i="10"/>
  <c r="T138" i="10"/>
  <c r="R138" i="10"/>
  <c r="Q131" i="10"/>
  <c r="S130" i="10"/>
  <c r="S114" i="10"/>
  <c r="Q108" i="10"/>
  <c r="Q104" i="10"/>
  <c r="Q100" i="10"/>
  <c r="Q96" i="10"/>
  <c r="Q92" i="10"/>
  <c r="R76" i="10"/>
  <c r="R58" i="10"/>
  <c r="R42" i="10"/>
  <c r="T41" i="10"/>
  <c r="R34" i="10"/>
  <c r="T33" i="10"/>
  <c r="R26" i="10"/>
  <c r="T17" i="10"/>
  <c r="R173" i="10"/>
  <c r="S173" i="10"/>
  <c r="T173" i="10"/>
  <c r="Q173" i="10"/>
  <c r="R157" i="10"/>
  <c r="Q157" i="10"/>
  <c r="S157" i="10"/>
  <c r="T157" i="10"/>
  <c r="R149" i="10"/>
  <c r="Q149" i="10"/>
  <c r="S149" i="10"/>
  <c r="T149" i="10"/>
  <c r="R141" i="10"/>
  <c r="Q141" i="10"/>
  <c r="S141" i="10"/>
  <c r="T141" i="10"/>
  <c r="R97" i="10"/>
  <c r="S97" i="10"/>
  <c r="T97" i="10"/>
  <c r="Q97" i="10"/>
  <c r="R93" i="10"/>
  <c r="S93" i="10"/>
  <c r="T93" i="10"/>
  <c r="Q93" i="10"/>
  <c r="R89" i="10"/>
  <c r="Q89" i="10"/>
  <c r="S89" i="10"/>
  <c r="T89" i="10"/>
  <c r="R81" i="10"/>
  <c r="Q81" i="10"/>
  <c r="S81" i="10"/>
  <c r="T81" i="10"/>
  <c r="S60" i="10"/>
  <c r="T60" i="10"/>
  <c r="R60" i="10"/>
  <c r="S44" i="10"/>
  <c r="T44" i="10"/>
  <c r="R44" i="10"/>
  <c r="Q278" i="10"/>
  <c r="S276" i="10"/>
  <c r="Q274" i="10"/>
  <c r="Q270" i="10"/>
  <c r="S267" i="10"/>
  <c r="Q266" i="10"/>
  <c r="S207" i="10"/>
  <c r="S203" i="10"/>
  <c r="S199" i="10"/>
  <c r="R197" i="10"/>
  <c r="R189" i="10"/>
  <c r="R185" i="10"/>
  <c r="S185" i="10"/>
  <c r="T185" i="10"/>
  <c r="Q185" i="10"/>
  <c r="R169" i="10"/>
  <c r="J169" i="10" s="1"/>
  <c r="K169" i="10" s="1"/>
  <c r="L169" i="10" s="1"/>
  <c r="S169" i="10"/>
  <c r="T169" i="10"/>
  <c r="Q169" i="10"/>
  <c r="R278" i="10"/>
  <c r="Q276" i="10"/>
  <c r="R271" i="10"/>
  <c r="T271" i="10"/>
  <c r="T278" i="10"/>
  <c r="T276" i="10"/>
  <c r="T274" i="10"/>
  <c r="T273" i="10"/>
  <c r="R273" i="10"/>
  <c r="Q271" i="10"/>
  <c r="T270" i="10"/>
  <c r="T269" i="10"/>
  <c r="R269" i="10"/>
  <c r="T266" i="10"/>
  <c r="T265" i="10"/>
  <c r="R265" i="10"/>
  <c r="T261" i="10"/>
  <c r="R261" i="10"/>
  <c r="T260" i="10"/>
  <c r="R258" i="10"/>
  <c r="T256" i="10"/>
  <c r="T241" i="10"/>
  <c r="R238" i="10"/>
  <c r="T236" i="10"/>
  <c r="R234" i="10"/>
  <c r="T232" i="10"/>
  <c r="R230" i="10"/>
  <c r="T228" i="10"/>
  <c r="R226" i="10"/>
  <c r="T224" i="10"/>
  <c r="T220" i="10"/>
  <c r="R218" i="10"/>
  <c r="T216" i="10"/>
  <c r="S210" i="10"/>
  <c r="T210" i="10"/>
  <c r="T208" i="10"/>
  <c r="S206" i="10"/>
  <c r="T206" i="10"/>
  <c r="T204" i="10"/>
  <c r="S202" i="10"/>
  <c r="T202" i="10"/>
  <c r="T200" i="10"/>
  <c r="R181" i="10"/>
  <c r="S181" i="10"/>
  <c r="T181" i="10"/>
  <c r="Q181" i="10"/>
  <c r="R165" i="10"/>
  <c r="S165" i="10"/>
  <c r="T165" i="10"/>
  <c r="Q165" i="10"/>
  <c r="R267" i="10"/>
  <c r="T267" i="10"/>
  <c r="T277" i="10"/>
  <c r="R275" i="10"/>
  <c r="R274" i="10"/>
  <c r="S273" i="10"/>
  <c r="S272" i="10"/>
  <c r="R270" i="10"/>
  <c r="S269" i="10"/>
  <c r="S268" i="10"/>
  <c r="R266" i="10"/>
  <c r="S265" i="10"/>
  <c r="S264" i="10"/>
  <c r="S261" i="10"/>
  <c r="S260" i="10"/>
  <c r="R259" i="10"/>
  <c r="S259" i="10"/>
  <c r="T259" i="10"/>
  <c r="Q258" i="10"/>
  <c r="S256" i="10"/>
  <c r="R251" i="10"/>
  <c r="S251" i="10"/>
  <c r="T251" i="10"/>
  <c r="S241" i="10"/>
  <c r="R239" i="10"/>
  <c r="S239" i="10"/>
  <c r="T239" i="10"/>
  <c r="Q238" i="10"/>
  <c r="S236" i="10"/>
  <c r="R235" i="10"/>
  <c r="S235" i="10"/>
  <c r="T235" i="10"/>
  <c r="Q234" i="10"/>
  <c r="S232" i="10"/>
  <c r="R231" i="10"/>
  <c r="S231" i="10"/>
  <c r="T231" i="10"/>
  <c r="Q230" i="10"/>
  <c r="S228" i="10"/>
  <c r="R227" i="10"/>
  <c r="S227" i="10"/>
  <c r="T227" i="10"/>
  <c r="Q226" i="10"/>
  <c r="S224" i="10"/>
  <c r="S220" i="10"/>
  <c r="R219" i="10"/>
  <c r="S219" i="10"/>
  <c r="T219" i="10"/>
  <c r="Q218" i="10"/>
  <c r="S216" i="10"/>
  <c r="S195" i="10"/>
  <c r="R193" i="10"/>
  <c r="S187" i="10"/>
  <c r="R177" i="10"/>
  <c r="S177" i="10"/>
  <c r="T177" i="10"/>
  <c r="Q177" i="10"/>
  <c r="R161" i="10"/>
  <c r="S161" i="10"/>
  <c r="T161" i="10"/>
  <c r="Q161" i="10"/>
  <c r="Q272" i="10"/>
  <c r="Q268" i="10"/>
  <c r="Q264" i="10"/>
  <c r="Q260" i="10"/>
  <c r="S258" i="10"/>
  <c r="R257" i="10"/>
  <c r="Q256" i="10"/>
  <c r="R250" i="10"/>
  <c r="Q241" i="10"/>
  <c r="S238" i="10"/>
  <c r="R237" i="10"/>
  <c r="Q236" i="10"/>
  <c r="S234" i="10"/>
  <c r="R233" i="10"/>
  <c r="Q232" i="10"/>
  <c r="S230" i="10"/>
  <c r="R229" i="10"/>
  <c r="Q228" i="10"/>
  <c r="S226" i="10"/>
  <c r="R225" i="10"/>
  <c r="Q224" i="10"/>
  <c r="S222" i="10"/>
  <c r="R221" i="10"/>
  <c r="Q220" i="10"/>
  <c r="S218" i="10"/>
  <c r="R217" i="10"/>
  <c r="Q216" i="10"/>
  <c r="R213" i="10"/>
  <c r="Q210" i="10"/>
  <c r="R209" i="10"/>
  <c r="S208" i="10"/>
  <c r="Q206" i="10"/>
  <c r="R205" i="10"/>
  <c r="S204" i="10"/>
  <c r="Q202" i="10"/>
  <c r="R201" i="10"/>
  <c r="S200" i="10"/>
  <c r="S198" i="10"/>
  <c r="S197" i="10"/>
  <c r="T197" i="10"/>
  <c r="S193" i="10"/>
  <c r="T193" i="10"/>
  <c r="S189" i="10"/>
  <c r="T189" i="10"/>
  <c r="S179" i="10"/>
  <c r="S175" i="10"/>
  <c r="S163" i="10"/>
  <c r="S159" i="10"/>
  <c r="T151" i="10"/>
  <c r="Q151" i="10"/>
  <c r="R151" i="10"/>
  <c r="S151" i="10"/>
  <c r="T143" i="10"/>
  <c r="Q143" i="10"/>
  <c r="R143" i="10"/>
  <c r="S143" i="10"/>
  <c r="Q257" i="10"/>
  <c r="Q250" i="10"/>
  <c r="Q237" i="10"/>
  <c r="Q233" i="10"/>
  <c r="Q229" i="10"/>
  <c r="Q225" i="10"/>
  <c r="Q221" i="10"/>
  <c r="Q217" i="10"/>
  <c r="Q213" i="10"/>
  <c r="R196" i="10"/>
  <c r="S196" i="10"/>
  <c r="R192" i="10"/>
  <c r="S192" i="10"/>
  <c r="R188" i="10"/>
  <c r="S188" i="10"/>
  <c r="R153" i="10"/>
  <c r="Q153" i="10"/>
  <c r="S153" i="10"/>
  <c r="T153" i="10"/>
  <c r="R145" i="10"/>
  <c r="Q145" i="10"/>
  <c r="S145" i="10"/>
  <c r="T145" i="10"/>
  <c r="R137" i="10"/>
  <c r="Q137" i="10"/>
  <c r="S137" i="10"/>
  <c r="T137" i="10"/>
  <c r="T209" i="10"/>
  <c r="R208" i="10"/>
  <c r="R207" i="10"/>
  <c r="T205" i="10"/>
  <c r="R204" i="10"/>
  <c r="R203" i="10"/>
  <c r="T201" i="10"/>
  <c r="R200" i="10"/>
  <c r="Q199" i="10"/>
  <c r="R199" i="10"/>
  <c r="T198" i="10"/>
  <c r="Q197" i="10"/>
  <c r="T196" i="10"/>
  <c r="Q195" i="10"/>
  <c r="Q193" i="10"/>
  <c r="T192" i="10"/>
  <c r="Q189" i="10"/>
  <c r="T188" i="10"/>
  <c r="Q187" i="10"/>
  <c r="S186" i="10"/>
  <c r="T186" i="10"/>
  <c r="S182" i="10"/>
  <c r="T182" i="10"/>
  <c r="S174" i="10"/>
  <c r="T174" i="10"/>
  <c r="S170" i="10"/>
  <c r="T170" i="10"/>
  <c r="S166" i="10"/>
  <c r="T166" i="10"/>
  <c r="S162" i="10"/>
  <c r="T162" i="10"/>
  <c r="S158" i="10"/>
  <c r="T158" i="10"/>
  <c r="T155" i="10"/>
  <c r="Q155" i="10"/>
  <c r="R155" i="10"/>
  <c r="S155" i="10"/>
  <c r="T147" i="10"/>
  <c r="Q147" i="10"/>
  <c r="R147" i="10"/>
  <c r="S147" i="10"/>
  <c r="T139" i="10"/>
  <c r="Q139" i="10"/>
  <c r="R139" i="10"/>
  <c r="S139" i="10"/>
  <c r="R195" i="10"/>
  <c r="R187" i="10"/>
  <c r="S184" i="10"/>
  <c r="S180" i="10"/>
  <c r="R179" i="10"/>
  <c r="S176" i="10"/>
  <c r="R175" i="10"/>
  <c r="S172" i="10"/>
  <c r="S168" i="10"/>
  <c r="R163" i="10"/>
  <c r="S160" i="10"/>
  <c r="R159" i="10"/>
  <c r="S136" i="10"/>
  <c r="T134" i="10"/>
  <c r="R133" i="10"/>
  <c r="T133" i="10"/>
  <c r="S132" i="10"/>
  <c r="T130" i="10"/>
  <c r="R129" i="10"/>
  <c r="T129" i="10"/>
  <c r="S128" i="10"/>
  <c r="R125" i="10"/>
  <c r="T125" i="10"/>
  <c r="S124" i="10"/>
  <c r="R121" i="10"/>
  <c r="T121" i="10"/>
  <c r="T118" i="10"/>
  <c r="R117" i="10"/>
  <c r="T117" i="10"/>
  <c r="S116" i="10"/>
  <c r="T114" i="10"/>
  <c r="R113" i="10"/>
  <c r="T113" i="10"/>
  <c r="S112" i="10"/>
  <c r="T83" i="10"/>
  <c r="Q83" i="10"/>
  <c r="R83" i="10"/>
  <c r="S83" i="10"/>
  <c r="R184" i="10"/>
  <c r="R180" i="10"/>
  <c r="R176" i="10"/>
  <c r="R172" i="10"/>
  <c r="R168" i="10"/>
  <c r="J168" i="10" s="1"/>
  <c r="K168" i="10" s="1"/>
  <c r="L168" i="10" s="1"/>
  <c r="R160" i="10"/>
  <c r="Q156" i="10"/>
  <c r="S154" i="10"/>
  <c r="Q152" i="10"/>
  <c r="S150" i="10"/>
  <c r="Q148" i="10"/>
  <c r="S146" i="10"/>
  <c r="Q144" i="10"/>
  <c r="S142" i="10"/>
  <c r="Q140" i="10"/>
  <c r="S138" i="10"/>
  <c r="Q136" i="10"/>
  <c r="S133" i="10"/>
  <c r="Q132" i="10"/>
  <c r="S129" i="10"/>
  <c r="Q128" i="10"/>
  <c r="S125" i="10"/>
  <c r="Q124" i="10"/>
  <c r="S121" i="10"/>
  <c r="S117" i="10"/>
  <c r="Q116" i="10"/>
  <c r="S113" i="10"/>
  <c r="Q112" i="10"/>
  <c r="R85" i="10"/>
  <c r="Q85" i="10"/>
  <c r="S85" i="10"/>
  <c r="T85" i="10"/>
  <c r="S48" i="10"/>
  <c r="T48" i="10"/>
  <c r="R48" i="10"/>
  <c r="T135" i="10"/>
  <c r="R135" i="10"/>
  <c r="T131" i="10"/>
  <c r="R131" i="10"/>
  <c r="T127" i="10"/>
  <c r="R127" i="10"/>
  <c r="T110" i="10"/>
  <c r="T90" i="10"/>
  <c r="Q134" i="10"/>
  <c r="Q130" i="10"/>
  <c r="Q118" i="10"/>
  <c r="Q114" i="10"/>
  <c r="Q110" i="10"/>
  <c r="S108" i="10"/>
  <c r="R107" i="10"/>
  <c r="S104" i="10"/>
  <c r="S100" i="10"/>
  <c r="S96" i="10"/>
  <c r="R95" i="10"/>
  <c r="S92" i="10"/>
  <c r="Q90" i="10"/>
  <c r="R80" i="10"/>
  <c r="Q70" i="10"/>
  <c r="R67" i="10"/>
  <c r="S67" i="10"/>
  <c r="T67" i="10"/>
  <c r="R63" i="10"/>
  <c r="S63" i="10"/>
  <c r="T63" i="10"/>
  <c r="Q62" i="10"/>
  <c r="Q60" i="10"/>
  <c r="R59" i="10"/>
  <c r="S59" i="10"/>
  <c r="T59" i="10"/>
  <c r="Q58" i="10"/>
  <c r="R55" i="10"/>
  <c r="S55" i="10"/>
  <c r="T55" i="10"/>
  <c r="Q54" i="10"/>
  <c r="R51" i="10"/>
  <c r="S51" i="10"/>
  <c r="T51" i="10"/>
  <c r="Q48" i="10"/>
  <c r="R47" i="10"/>
  <c r="S47" i="10"/>
  <c r="T47" i="10"/>
  <c r="Q44" i="10"/>
  <c r="R43" i="10"/>
  <c r="S43" i="10"/>
  <c r="T43" i="10"/>
  <c r="Q42" i="10"/>
  <c r="Q38" i="10"/>
  <c r="R35" i="10"/>
  <c r="S35" i="10"/>
  <c r="T35" i="10"/>
  <c r="Q34" i="10"/>
  <c r="R31" i="10"/>
  <c r="S31" i="10"/>
  <c r="T31" i="10"/>
  <c r="Q30" i="10"/>
  <c r="Q26" i="10"/>
  <c r="R23" i="10"/>
  <c r="S23" i="10"/>
  <c r="T23" i="10"/>
  <c r="Q22" i="10"/>
  <c r="R19" i="10"/>
  <c r="S19" i="10"/>
  <c r="T19" i="10"/>
  <c r="Q6" i="10"/>
  <c r="Q107" i="10"/>
  <c r="Q95" i="10"/>
  <c r="S86" i="10"/>
  <c r="S82" i="10"/>
  <c r="Q80" i="10"/>
  <c r="T86" i="10"/>
  <c r="T82" i="10"/>
  <c r="T77" i="10"/>
  <c r="R77" i="10"/>
  <c r="S76" i="10"/>
  <c r="S78" i="10"/>
  <c r="S70" i="10"/>
  <c r="S62" i="10"/>
  <c r="S58" i="10"/>
  <c r="S54" i="10"/>
  <c r="S42" i="10"/>
  <c r="R41" i="10"/>
  <c r="S38" i="10"/>
  <c r="S34" i="10"/>
  <c r="R33" i="10"/>
  <c r="S30" i="10"/>
  <c r="S26" i="10"/>
  <c r="S22" i="10"/>
  <c r="R17" i="10"/>
  <c r="S6" i="10"/>
  <c r="R5" i="10"/>
  <c r="Q41" i="10"/>
  <c r="Q33" i="10"/>
  <c r="Q17" i="10"/>
  <c r="Q5" i="10"/>
  <c r="J170" i="10"/>
  <c r="K170" i="10" s="1"/>
  <c r="L170" i="10" s="1"/>
  <c r="U279" i="10"/>
  <c r="V279" i="10"/>
  <c r="W279" i="10"/>
  <c r="X279" i="10"/>
  <c r="Y279" i="10"/>
  <c r="Z279" i="10"/>
  <c r="U280" i="10"/>
  <c r="V280" i="10"/>
  <c r="W280" i="10"/>
  <c r="X280" i="10"/>
  <c r="Y280" i="10"/>
  <c r="Z280" i="10"/>
  <c r="U281" i="10"/>
  <c r="V281" i="10"/>
  <c r="W281" i="10"/>
  <c r="X281" i="10"/>
  <c r="Y281" i="10"/>
  <c r="Z281" i="10"/>
  <c r="Y4" i="10"/>
  <c r="Z4" i="10"/>
  <c r="X4" i="10"/>
  <c r="R71" i="10" l="1"/>
  <c r="T25" i="10"/>
  <c r="R119" i="10"/>
  <c r="T87" i="10"/>
  <c r="R212" i="10"/>
  <c r="T105" i="10"/>
  <c r="T84" i="10"/>
  <c r="Q109" i="10"/>
  <c r="Q99" i="10"/>
  <c r="T39" i="10"/>
  <c r="S40" i="10"/>
  <c r="R56" i="10"/>
  <c r="S74" i="10"/>
  <c r="Q52" i="10"/>
  <c r="R222" i="10"/>
  <c r="Q39" i="10"/>
  <c r="Q64" i="10"/>
  <c r="T106" i="10"/>
  <c r="Q211" i="10"/>
  <c r="T223" i="10"/>
  <c r="Q115" i="10"/>
  <c r="Q65" i="10"/>
  <c r="R53" i="10"/>
  <c r="R65" i="10"/>
  <c r="T79" i="10"/>
  <c r="R24" i="10"/>
  <c r="R215" i="10"/>
  <c r="Q254" i="10"/>
  <c r="R263" i="10"/>
  <c r="R122" i="10"/>
  <c r="Q255" i="10"/>
  <c r="T248" i="10"/>
  <c r="R21" i="10"/>
  <c r="R115" i="10"/>
  <c r="T120" i="10"/>
  <c r="Q248" i="10"/>
  <c r="T183" i="10"/>
  <c r="Q120" i="10"/>
  <c r="S183" i="10"/>
  <c r="T252" i="10"/>
  <c r="R120" i="10"/>
  <c r="T53" i="10"/>
  <c r="S69" i="10"/>
  <c r="R262" i="10"/>
  <c r="R91" i="10"/>
  <c r="S262" i="10"/>
  <c r="T91" i="10"/>
  <c r="S91" i="10"/>
  <c r="R252" i="10"/>
  <c r="S66" i="10"/>
  <c r="T94" i="10"/>
  <c r="Q66" i="10"/>
  <c r="Q126" i="10"/>
  <c r="Q102" i="10"/>
  <c r="T126" i="10"/>
  <c r="R246" i="10"/>
  <c r="R126" i="10"/>
  <c r="S61" i="10"/>
  <c r="S102" i="10"/>
  <c r="T66" i="10"/>
  <c r="R49" i="10"/>
  <c r="Q94" i="10"/>
  <c r="T211" i="10"/>
  <c r="T49" i="10"/>
  <c r="Q69" i="10"/>
  <c r="S39" i="10"/>
  <c r="Q56" i="10"/>
  <c r="T56" i="10"/>
  <c r="S245" i="10"/>
  <c r="R52" i="10"/>
  <c r="T109" i="10"/>
  <c r="T65" i="10"/>
  <c r="S46" i="10"/>
  <c r="Q74" i="10"/>
  <c r="T69" i="10"/>
  <c r="T222" i="10"/>
  <c r="R74" i="10"/>
  <c r="Q46" i="10"/>
  <c r="R46" i="10"/>
  <c r="Q88" i="10"/>
  <c r="R99" i="10"/>
  <c r="R40" i="10"/>
  <c r="T122" i="10"/>
  <c r="Q245" i="10"/>
  <c r="T245" i="10"/>
  <c r="T52" i="10"/>
  <c r="S109" i="10"/>
  <c r="S122" i="10"/>
  <c r="S53" i="10"/>
  <c r="T88" i="10"/>
  <c r="S99" i="10"/>
  <c r="S88" i="10"/>
  <c r="Q40" i="10"/>
  <c r="R37" i="10"/>
  <c r="R73" i="10"/>
  <c r="S214" i="10"/>
  <c r="S243" i="10"/>
  <c r="Q214" i="10"/>
  <c r="R244" i="10"/>
  <c r="R248" i="10"/>
  <c r="T262" i="10"/>
  <c r="Q183" i="10"/>
  <c r="T37" i="10"/>
  <c r="Q37" i="10"/>
  <c r="T73" i="10"/>
  <c r="R123" i="10"/>
  <c r="Q252" i="10"/>
  <c r="S249" i="10"/>
  <c r="R214" i="10"/>
  <c r="T249" i="10"/>
  <c r="R249" i="10"/>
  <c r="T243" i="10"/>
  <c r="T115" i="10"/>
  <c r="Q243" i="10"/>
  <c r="T18" i="10"/>
  <c r="Q57" i="10"/>
  <c r="R25" i="10"/>
  <c r="Q84" i="10"/>
  <c r="S79" i="10"/>
  <c r="S87" i="10"/>
  <c r="T119" i="10"/>
  <c r="R16" i="10"/>
  <c r="T24" i="10"/>
  <c r="S212" i="10"/>
  <c r="S223" i="10"/>
  <c r="T255" i="10"/>
  <c r="Q263" i="10"/>
  <c r="S105" i="10"/>
  <c r="Q72" i="10"/>
  <c r="S119" i="10"/>
  <c r="Q73" i="10"/>
  <c r="S263" i="10"/>
  <c r="Q223" i="10"/>
  <c r="Q71" i="10"/>
  <c r="T254" i="10"/>
  <c r="Q212" i="10"/>
  <c r="R57" i="10"/>
  <c r="Q16" i="10"/>
  <c r="Q24" i="10"/>
  <c r="T71" i="10"/>
  <c r="Q98" i="10"/>
  <c r="R103" i="10"/>
  <c r="R79" i="10"/>
  <c r="R87" i="10"/>
  <c r="T16" i="10"/>
  <c r="R191" i="10"/>
  <c r="T178" i="10"/>
  <c r="S247" i="10"/>
  <c r="S254" i="10"/>
  <c r="T215" i="10"/>
  <c r="S255" i="10"/>
  <c r="S191" i="10"/>
  <c r="R105" i="10"/>
  <c r="R72" i="10"/>
  <c r="T103" i="10"/>
  <c r="R98" i="10"/>
  <c r="S103" i="10"/>
  <c r="T247" i="10"/>
  <c r="R178" i="10"/>
  <c r="S25" i="10"/>
  <c r="S72" i="10"/>
  <c r="T98" i="10"/>
  <c r="S178" i="10"/>
  <c r="Q191" i="10"/>
  <c r="S215" i="10"/>
  <c r="Q247" i="10"/>
  <c r="T57" i="10"/>
  <c r="T123" i="10"/>
  <c r="S190" i="10"/>
  <c r="R36" i="10"/>
  <c r="Q190" i="10"/>
  <c r="T242" i="10"/>
  <c r="T190" i="10"/>
  <c r="T36" i="10"/>
  <c r="Q123" i="10"/>
  <c r="T21" i="10"/>
  <c r="R194" i="10"/>
  <c r="Q244" i="10"/>
  <c r="S36" i="10"/>
  <c r="S194" i="10"/>
  <c r="S21" i="10"/>
  <c r="Q194" i="10"/>
  <c r="T244" i="10"/>
  <c r="S242" i="10"/>
  <c r="Q242" i="10"/>
  <c r="Q75" i="10"/>
  <c r="Q50" i="10"/>
  <c r="T75" i="10"/>
  <c r="R64" i="10"/>
  <c r="Q253" i="10"/>
  <c r="S171" i="10"/>
  <c r="R253" i="10"/>
  <c r="S211" i="10"/>
  <c r="R20" i="10"/>
  <c r="R18" i="10"/>
  <c r="R50" i="10"/>
  <c r="S106" i="10"/>
  <c r="S253" i="10"/>
  <c r="S75" i="10"/>
  <c r="Q61" i="10"/>
  <c r="S50" i="10"/>
  <c r="Q106" i="10"/>
  <c r="T64" i="10"/>
  <c r="R171" i="10"/>
  <c r="J171" i="10" s="1"/>
  <c r="K171" i="10" s="1"/>
  <c r="L171" i="10" s="1"/>
  <c r="T20" i="10"/>
  <c r="Q171" i="10"/>
  <c r="T61" i="10"/>
  <c r="S94" i="10"/>
  <c r="T246" i="10"/>
  <c r="S246" i="10"/>
  <c r="Q49" i="10"/>
  <c r="S18" i="10"/>
  <c r="Q20" i="10"/>
  <c r="U167" i="10"/>
  <c r="P167" i="10"/>
  <c r="Q167" i="10" l="1"/>
  <c r="T167" i="10"/>
  <c r="S167" i="10"/>
  <c r="R167" i="10"/>
  <c r="BD44" i="10" l="1"/>
  <c r="BA44" i="10"/>
  <c r="AX44" i="10"/>
  <c r="AU44" i="10"/>
  <c r="AR44" i="10"/>
  <c r="F44" i="10" l="1"/>
  <c r="M44" i="10" s="1"/>
  <c r="J44" i="10" s="1"/>
  <c r="K44" i="10" s="1"/>
  <c r="L44" i="10" s="1"/>
  <c r="G44" i="10"/>
  <c r="AA164" i="10" l="1"/>
  <c r="AC183" i="10"/>
  <c r="AC186" i="10"/>
  <c r="AC185" i="10"/>
  <c r="M124" i="10"/>
  <c r="AR111" i="10"/>
  <c r="AM111" i="10"/>
  <c r="AL111" i="10"/>
  <c r="AI111" i="10"/>
  <c r="AF111" i="10"/>
  <c r="AC111" i="10"/>
  <c r="AU102" i="10"/>
  <c r="AU99" i="10"/>
  <c r="AU98" i="10"/>
  <c r="AU88" i="10"/>
  <c r="AU87" i="10"/>
  <c r="AU85" i="10"/>
  <c r="M110" i="10"/>
  <c r="M107" i="10"/>
  <c r="AM101" i="10"/>
  <c r="M47" i="10"/>
  <c r="M76" i="10"/>
  <c r="P101" i="10" l="1"/>
  <c r="W101" i="10" s="1"/>
  <c r="AO111" i="10"/>
  <c r="P111" i="10"/>
  <c r="W111" i="10" s="1"/>
  <c r="P164" i="10"/>
  <c r="U164" i="10" s="1"/>
  <c r="AX68" i="10"/>
  <c r="AS68" i="10"/>
  <c r="AM32" i="10"/>
  <c r="AG32" i="10"/>
  <c r="AA32" i="10"/>
  <c r="AM15" i="10"/>
  <c r="AM14" i="10"/>
  <c r="U111" i="10" l="1"/>
  <c r="T111" i="10" s="1"/>
  <c r="V106" i="10"/>
  <c r="V111" i="10"/>
  <c r="U101" i="10"/>
  <c r="R101" i="10" s="1"/>
  <c r="V101" i="10"/>
  <c r="P14" i="10"/>
  <c r="AU68" i="10"/>
  <c r="P68" i="10"/>
  <c r="X68" i="10" s="1"/>
  <c r="P32" i="10"/>
  <c r="W32" i="10" s="1"/>
  <c r="Q164" i="10"/>
  <c r="T164" i="10"/>
  <c r="S164" i="10"/>
  <c r="R164" i="10"/>
  <c r="P15" i="10"/>
  <c r="W15" i="10" s="1"/>
  <c r="J76" i="10"/>
  <c r="K76" i="10" s="1"/>
  <c r="L76" i="10" s="1"/>
  <c r="J107" i="10"/>
  <c r="K107" i="10" s="1"/>
  <c r="L107" i="10" s="1"/>
  <c r="J110" i="10"/>
  <c r="K110" i="10" s="1"/>
  <c r="L110" i="10" s="1"/>
  <c r="J124" i="10"/>
  <c r="K124" i="10" s="1"/>
  <c r="L124" i="10" s="1"/>
  <c r="J180" i="10"/>
  <c r="K180" i="10" s="1"/>
  <c r="L180" i="10" s="1"/>
  <c r="J181" i="10"/>
  <c r="K181" i="10" s="1"/>
  <c r="L181" i="10" s="1"/>
  <c r="J206" i="10"/>
  <c r="K206" i="10" s="1"/>
  <c r="L206" i="10" s="1"/>
  <c r="J216" i="10"/>
  <c r="K216" i="10" s="1"/>
  <c r="L216" i="10" s="1"/>
  <c r="J221" i="10"/>
  <c r="K221" i="10" s="1"/>
  <c r="L221" i="10" s="1"/>
  <c r="P4" i="10"/>
  <c r="BD6" i="10"/>
  <c r="BD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6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8" i="10"/>
  <c r="BD169" i="10"/>
  <c r="BD170" i="10"/>
  <c r="BD171" i="10"/>
  <c r="BD172" i="10"/>
  <c r="BD173" i="10"/>
  <c r="BD174" i="10"/>
  <c r="BD175" i="10"/>
  <c r="BD176" i="10"/>
  <c r="BD177" i="10"/>
  <c r="BD178" i="10"/>
  <c r="BD179" i="10"/>
  <c r="BD180" i="10"/>
  <c r="BD181" i="10"/>
  <c r="BD182" i="10"/>
  <c r="BD183" i="10"/>
  <c r="BD184" i="10"/>
  <c r="BD185" i="10"/>
  <c r="BD186" i="10"/>
  <c r="BD187" i="10"/>
  <c r="BD188" i="10"/>
  <c r="BD189" i="10"/>
  <c r="BD190" i="10"/>
  <c r="BD191" i="10"/>
  <c r="BD192" i="10"/>
  <c r="BD193" i="10"/>
  <c r="BD194" i="10"/>
  <c r="BD195" i="10"/>
  <c r="BD196" i="10"/>
  <c r="BD197" i="10"/>
  <c r="BD198" i="10"/>
  <c r="BD199" i="10"/>
  <c r="BD200" i="10"/>
  <c r="BD201" i="10"/>
  <c r="BD202" i="10"/>
  <c r="BD203" i="10"/>
  <c r="BD204" i="10"/>
  <c r="BD205" i="10"/>
  <c r="BD206" i="10"/>
  <c r="BD207" i="10"/>
  <c r="BD208" i="10"/>
  <c r="BD209" i="10"/>
  <c r="BD210" i="10"/>
  <c r="BD211" i="10"/>
  <c r="BD212" i="10"/>
  <c r="BD213" i="10"/>
  <c r="BD214" i="10"/>
  <c r="BD215" i="10"/>
  <c r="BD216" i="10"/>
  <c r="BD217" i="10"/>
  <c r="BD218" i="10"/>
  <c r="BD219" i="10"/>
  <c r="BD220" i="10"/>
  <c r="BD221" i="10"/>
  <c r="BD222" i="10"/>
  <c r="BD223" i="10"/>
  <c r="BD224" i="10"/>
  <c r="BD225" i="10"/>
  <c r="BD226" i="10"/>
  <c r="BD227" i="10"/>
  <c r="BD228" i="10"/>
  <c r="BD229" i="10"/>
  <c r="BD230" i="10"/>
  <c r="BD231" i="10"/>
  <c r="BD232" i="10"/>
  <c r="BD233" i="10"/>
  <c r="BD234" i="10"/>
  <c r="BD235" i="10"/>
  <c r="BD236" i="10"/>
  <c r="BD237" i="10"/>
  <c r="BD238" i="10"/>
  <c r="BD239" i="10"/>
  <c r="BD241" i="10"/>
  <c r="BD242" i="10"/>
  <c r="BD243" i="10"/>
  <c r="BD244" i="10"/>
  <c r="BD245" i="10"/>
  <c r="BD246" i="10"/>
  <c r="BD247" i="10"/>
  <c r="BD248" i="10"/>
  <c r="BD249" i="10"/>
  <c r="BD250" i="10"/>
  <c r="BD251" i="10"/>
  <c r="BD252" i="10"/>
  <c r="BD253" i="10"/>
  <c r="BD254" i="10"/>
  <c r="BD255" i="10"/>
  <c r="BD256" i="10"/>
  <c r="BD257" i="10"/>
  <c r="BD258" i="10"/>
  <c r="BD259" i="10"/>
  <c r="BD260" i="10"/>
  <c r="BD261" i="10"/>
  <c r="BD262" i="10"/>
  <c r="BD263" i="10"/>
  <c r="BD264" i="10"/>
  <c r="BD265" i="10"/>
  <c r="BD266" i="10"/>
  <c r="BD267" i="10"/>
  <c r="BD268" i="10"/>
  <c r="BD269" i="10"/>
  <c r="BD270" i="10"/>
  <c r="BD271" i="10"/>
  <c r="BD272" i="10"/>
  <c r="BD273" i="10"/>
  <c r="BD274" i="10"/>
  <c r="BD275" i="10"/>
  <c r="BD276" i="10"/>
  <c r="BD277" i="10"/>
  <c r="BD278" i="10"/>
  <c r="BD5" i="10"/>
  <c r="BA5" i="10"/>
  <c r="BA6" i="10"/>
  <c r="BA7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6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A99" i="10"/>
  <c r="BA100" i="10"/>
  <c r="BA101" i="10"/>
  <c r="BA102" i="10"/>
  <c r="BA103" i="10"/>
  <c r="BA104" i="10"/>
  <c r="BA105" i="10"/>
  <c r="BA106" i="10"/>
  <c r="BA107" i="10"/>
  <c r="BA108" i="10"/>
  <c r="BA109" i="10"/>
  <c r="BA110" i="10"/>
  <c r="BA111" i="10"/>
  <c r="BA112" i="10"/>
  <c r="BA113" i="10"/>
  <c r="BA114" i="10"/>
  <c r="BA115" i="10"/>
  <c r="BA116" i="10"/>
  <c r="BA117" i="10"/>
  <c r="BA118" i="10"/>
  <c r="BA119" i="10"/>
  <c r="BA120" i="10"/>
  <c r="BA121" i="10"/>
  <c r="BA122" i="10"/>
  <c r="BA123" i="10"/>
  <c r="BA124" i="10"/>
  <c r="BA125" i="10"/>
  <c r="BA126" i="10"/>
  <c r="BA127" i="10"/>
  <c r="BA128" i="10"/>
  <c r="BA129" i="10"/>
  <c r="BA130" i="10"/>
  <c r="BA131" i="10"/>
  <c r="BA132" i="10"/>
  <c r="BA133" i="10"/>
  <c r="BA134" i="10"/>
  <c r="BA135" i="10"/>
  <c r="BA136" i="10"/>
  <c r="BA137" i="10"/>
  <c r="BA138" i="10"/>
  <c r="BA139" i="10"/>
  <c r="BA140" i="10"/>
  <c r="BA141" i="10"/>
  <c r="BA142" i="10"/>
  <c r="BA143" i="10"/>
  <c r="BA144" i="10"/>
  <c r="BA145" i="10"/>
  <c r="BA146" i="10"/>
  <c r="BA147" i="10"/>
  <c r="BA148" i="10"/>
  <c r="BA149" i="10"/>
  <c r="BA150" i="10"/>
  <c r="BA151" i="10"/>
  <c r="BA152" i="10"/>
  <c r="BA153" i="10"/>
  <c r="BA154" i="10"/>
  <c r="BA155" i="10"/>
  <c r="BA156" i="10"/>
  <c r="BA157" i="10"/>
  <c r="BA158" i="10"/>
  <c r="BA159" i="10"/>
  <c r="BA160" i="10"/>
  <c r="BA161" i="10"/>
  <c r="BA162" i="10"/>
  <c r="BA163" i="10"/>
  <c r="BA164" i="10"/>
  <c r="BA165" i="10"/>
  <c r="BA166" i="10"/>
  <c r="BA168" i="10"/>
  <c r="BA169" i="10"/>
  <c r="BA170" i="10"/>
  <c r="BA171" i="10"/>
  <c r="BA172" i="10"/>
  <c r="BA173" i="10"/>
  <c r="BA174" i="10"/>
  <c r="BA175" i="10"/>
  <c r="BA176" i="10"/>
  <c r="BA177" i="10"/>
  <c r="BA178" i="10"/>
  <c r="BA179" i="10"/>
  <c r="BA180" i="10"/>
  <c r="BA181" i="10"/>
  <c r="BA182" i="10"/>
  <c r="BA183" i="10"/>
  <c r="BA184" i="10"/>
  <c r="BA185" i="10"/>
  <c r="BA186" i="10"/>
  <c r="BA187" i="10"/>
  <c r="BA188" i="10"/>
  <c r="BA189" i="10"/>
  <c r="BA190" i="10"/>
  <c r="BA191" i="10"/>
  <c r="BA192" i="10"/>
  <c r="BA193" i="10"/>
  <c r="BA194" i="10"/>
  <c r="BA195" i="10"/>
  <c r="BA196" i="10"/>
  <c r="BA197" i="10"/>
  <c r="BA198" i="10"/>
  <c r="BA199" i="10"/>
  <c r="BA200" i="10"/>
  <c r="BA201" i="10"/>
  <c r="BA202" i="10"/>
  <c r="BA203" i="10"/>
  <c r="BA204" i="10"/>
  <c r="BA205" i="10"/>
  <c r="BA206" i="10"/>
  <c r="BA207" i="10"/>
  <c r="BA208" i="10"/>
  <c r="BA209" i="10"/>
  <c r="BA210" i="10"/>
  <c r="BA211" i="10"/>
  <c r="BA212" i="10"/>
  <c r="BA213" i="10"/>
  <c r="BA214" i="10"/>
  <c r="BA215" i="10"/>
  <c r="BA216" i="10"/>
  <c r="BA217" i="10"/>
  <c r="BA218" i="10"/>
  <c r="BA219" i="10"/>
  <c r="BA220" i="10"/>
  <c r="BA221" i="10"/>
  <c r="BA222" i="10"/>
  <c r="BA223" i="10"/>
  <c r="BA224" i="10"/>
  <c r="BA225" i="10"/>
  <c r="BA226" i="10"/>
  <c r="BA227" i="10"/>
  <c r="BA228" i="10"/>
  <c r="BA229" i="10"/>
  <c r="BA230" i="10"/>
  <c r="BA231" i="10"/>
  <c r="BA232" i="10"/>
  <c r="BA233" i="10"/>
  <c r="BA234" i="10"/>
  <c r="BA235" i="10"/>
  <c r="BA236" i="10"/>
  <c r="BA237" i="10"/>
  <c r="BA238" i="10"/>
  <c r="BA239" i="10"/>
  <c r="BA241" i="10"/>
  <c r="BA242" i="10"/>
  <c r="BA243" i="10"/>
  <c r="BA244" i="10"/>
  <c r="BA245" i="10"/>
  <c r="BA246" i="10"/>
  <c r="BA247" i="10"/>
  <c r="BA248" i="10"/>
  <c r="BA249" i="10"/>
  <c r="BA250" i="10"/>
  <c r="BA251" i="10"/>
  <c r="BA252" i="10"/>
  <c r="BA253" i="10"/>
  <c r="BA254" i="10"/>
  <c r="BA255" i="10"/>
  <c r="BA256" i="10"/>
  <c r="BA257" i="10"/>
  <c r="BA258" i="10"/>
  <c r="BA259" i="10"/>
  <c r="BA260" i="10"/>
  <c r="BA261" i="10"/>
  <c r="BA262" i="10"/>
  <c r="BA263" i="10"/>
  <c r="BA264" i="10"/>
  <c r="BA265" i="10"/>
  <c r="BA266" i="10"/>
  <c r="BA267" i="10"/>
  <c r="BA4" i="10"/>
  <c r="AX264" i="10"/>
  <c r="AX263" i="10"/>
  <c r="AX262" i="10"/>
  <c r="AX261" i="10"/>
  <c r="AX260" i="10"/>
  <c r="AX259" i="10"/>
  <c r="AX258" i="10"/>
  <c r="AX257" i="10"/>
  <c r="AX256" i="10"/>
  <c r="AX255" i="10"/>
  <c r="AX254" i="10"/>
  <c r="AX253" i="10"/>
  <c r="AX252" i="10"/>
  <c r="AX251" i="10"/>
  <c r="AX250" i="10"/>
  <c r="AX249" i="10"/>
  <c r="AX248" i="10"/>
  <c r="AX247" i="10"/>
  <c r="AX246" i="10"/>
  <c r="AX245" i="10"/>
  <c r="AX244" i="10"/>
  <c r="AX243" i="10"/>
  <c r="AX242" i="10"/>
  <c r="AX241" i="10"/>
  <c r="AX239" i="10"/>
  <c r="AX238" i="10"/>
  <c r="AX237" i="10"/>
  <c r="AX236" i="10"/>
  <c r="AX235" i="10"/>
  <c r="AX234" i="10"/>
  <c r="AX233" i="10"/>
  <c r="AX232" i="10"/>
  <c r="AX231" i="10"/>
  <c r="AX230" i="10"/>
  <c r="AX229" i="10"/>
  <c r="AX228" i="10"/>
  <c r="AX227" i="10"/>
  <c r="AX226" i="10"/>
  <c r="AX225" i="10"/>
  <c r="AX224" i="10"/>
  <c r="AX223" i="10"/>
  <c r="AX222" i="10"/>
  <c r="AX221" i="10"/>
  <c r="AX220" i="10"/>
  <c r="AX219" i="10"/>
  <c r="AX218" i="10"/>
  <c r="AX217" i="10"/>
  <c r="AX216" i="10"/>
  <c r="AX215" i="10"/>
  <c r="AX214" i="10"/>
  <c r="AX213" i="10"/>
  <c r="AX212" i="10"/>
  <c r="AX211" i="10"/>
  <c r="AX210" i="10"/>
  <c r="AX209" i="10"/>
  <c r="AX208" i="10"/>
  <c r="AX207" i="10"/>
  <c r="AX206" i="10"/>
  <c r="AX205" i="10"/>
  <c r="AX204" i="10"/>
  <c r="AX203" i="10"/>
  <c r="AX202" i="10"/>
  <c r="AX201" i="10"/>
  <c r="AX200" i="10"/>
  <c r="AX199" i="10"/>
  <c r="AX198" i="10"/>
  <c r="AX197" i="10"/>
  <c r="AX196" i="10"/>
  <c r="AX195" i="10"/>
  <c r="AX194" i="10"/>
  <c r="AX193" i="10"/>
  <c r="AX192" i="10"/>
  <c r="AX191" i="10"/>
  <c r="AX190" i="10"/>
  <c r="AX189" i="10"/>
  <c r="AX188" i="10"/>
  <c r="AX187" i="10"/>
  <c r="AX186" i="10"/>
  <c r="AX185" i="10"/>
  <c r="AX184" i="10"/>
  <c r="AX183" i="10"/>
  <c r="AX182" i="10"/>
  <c r="AX181" i="10"/>
  <c r="AX180" i="10"/>
  <c r="AX179" i="10"/>
  <c r="AX178" i="10"/>
  <c r="AX177" i="10"/>
  <c r="AX176" i="10"/>
  <c r="AX175" i="10"/>
  <c r="AX174" i="10"/>
  <c r="AX173" i="10"/>
  <c r="AX172" i="10"/>
  <c r="AX171" i="10"/>
  <c r="AX170" i="10"/>
  <c r="AX169" i="10"/>
  <c r="AX168" i="10"/>
  <c r="AX166" i="10"/>
  <c r="AX165" i="10"/>
  <c r="AX164" i="10"/>
  <c r="AX163" i="10"/>
  <c r="AX162" i="10"/>
  <c r="AX161" i="10"/>
  <c r="AX160" i="10"/>
  <c r="AX159" i="10"/>
  <c r="AX158" i="10"/>
  <c r="AX157" i="10"/>
  <c r="AX156" i="10"/>
  <c r="AX155" i="10"/>
  <c r="AX154" i="10"/>
  <c r="AX153" i="10"/>
  <c r="AX152" i="10"/>
  <c r="AX151" i="10"/>
  <c r="AX150" i="10"/>
  <c r="AX149" i="10"/>
  <c r="AX148" i="10"/>
  <c r="AX147" i="10"/>
  <c r="AX146" i="10"/>
  <c r="AX145" i="10"/>
  <c r="AX144" i="10"/>
  <c r="AX143" i="10"/>
  <c r="AX142" i="10"/>
  <c r="AX141" i="10"/>
  <c r="AX140" i="10"/>
  <c r="AX139" i="10"/>
  <c r="AX138" i="10"/>
  <c r="AX137" i="10"/>
  <c r="AX136" i="10"/>
  <c r="AX135" i="10"/>
  <c r="AX134" i="10"/>
  <c r="AX133" i="10"/>
  <c r="AX132" i="10"/>
  <c r="AX131" i="10"/>
  <c r="AX130" i="10"/>
  <c r="AX129" i="10"/>
  <c r="AX128" i="10"/>
  <c r="AX127" i="10"/>
  <c r="AX126" i="10"/>
  <c r="AX125" i="10"/>
  <c r="AX124" i="10"/>
  <c r="AX123" i="10"/>
  <c r="AX122" i="10"/>
  <c r="AX121" i="10"/>
  <c r="AX120" i="10"/>
  <c r="AX119" i="10"/>
  <c r="AX118" i="10"/>
  <c r="AX117" i="10"/>
  <c r="AX116" i="10"/>
  <c r="AX115" i="10"/>
  <c r="AX114" i="10"/>
  <c r="AX113" i="10"/>
  <c r="AX112" i="10"/>
  <c r="AX111" i="10"/>
  <c r="AX110" i="10"/>
  <c r="AX109" i="10"/>
  <c r="AX108" i="10"/>
  <c r="AX107" i="10"/>
  <c r="AX106" i="10"/>
  <c r="AX105" i="10"/>
  <c r="AX104" i="10"/>
  <c r="AX103" i="10"/>
  <c r="AX102" i="10"/>
  <c r="AX101" i="10"/>
  <c r="AX100" i="10"/>
  <c r="AX99" i="10"/>
  <c r="AX98" i="10"/>
  <c r="AX97" i="10"/>
  <c r="AX96" i="10"/>
  <c r="AX95" i="10"/>
  <c r="AX94" i="10"/>
  <c r="AX93" i="10"/>
  <c r="AX92" i="10"/>
  <c r="AX91" i="10"/>
  <c r="AX90" i="10"/>
  <c r="AX89" i="10"/>
  <c r="AX88" i="10"/>
  <c r="AX87" i="10"/>
  <c r="AX86" i="10"/>
  <c r="AX85" i="10"/>
  <c r="AX84" i="10"/>
  <c r="AX83" i="10"/>
  <c r="AX82" i="10"/>
  <c r="AX81" i="10"/>
  <c r="AX80" i="10"/>
  <c r="AX79" i="10"/>
  <c r="AX78" i="10"/>
  <c r="AX77" i="10"/>
  <c r="AX76" i="10"/>
  <c r="AX75" i="10"/>
  <c r="AX74" i="10"/>
  <c r="AX73" i="10"/>
  <c r="AX72" i="10"/>
  <c r="AX71" i="10"/>
  <c r="AX70" i="10"/>
  <c r="AX69" i="10"/>
  <c r="AX67" i="10"/>
  <c r="AX66" i="10"/>
  <c r="AX65" i="10"/>
  <c r="AX64" i="10"/>
  <c r="AX63" i="10"/>
  <c r="AX62" i="10"/>
  <c r="AX61" i="10"/>
  <c r="AX60" i="10"/>
  <c r="AX59" i="10"/>
  <c r="AX58" i="10"/>
  <c r="AX57" i="10"/>
  <c r="AX56" i="10"/>
  <c r="AX55" i="10"/>
  <c r="AX54" i="10"/>
  <c r="AX53" i="10"/>
  <c r="AX52" i="10"/>
  <c r="AX51" i="10"/>
  <c r="AX50" i="10"/>
  <c r="AX49" i="10"/>
  <c r="AX48" i="10"/>
  <c r="AX46" i="10"/>
  <c r="AX43" i="10"/>
  <c r="AX42" i="10"/>
  <c r="AX41" i="10"/>
  <c r="AX40" i="10"/>
  <c r="AX39" i="10"/>
  <c r="AX38" i="10"/>
  <c r="AX37" i="10"/>
  <c r="AX36" i="10"/>
  <c r="AX35" i="10"/>
  <c r="AX34" i="10"/>
  <c r="AX33" i="10"/>
  <c r="AX32" i="10"/>
  <c r="AX31" i="10"/>
  <c r="AX30" i="10"/>
  <c r="AX29" i="10"/>
  <c r="AX28" i="10"/>
  <c r="AX27" i="10"/>
  <c r="AX26" i="10"/>
  <c r="AX25" i="10"/>
  <c r="AX24" i="10"/>
  <c r="AX23" i="10"/>
  <c r="AX22" i="10"/>
  <c r="AX21" i="10"/>
  <c r="AX20" i="10"/>
  <c r="AX19" i="10"/>
  <c r="AX18" i="10"/>
  <c r="AX17" i="10"/>
  <c r="AX16" i="10"/>
  <c r="AX15" i="10"/>
  <c r="AX14" i="10"/>
  <c r="AX13" i="10"/>
  <c r="AX12" i="10"/>
  <c r="AX11" i="10"/>
  <c r="AX10" i="10"/>
  <c r="AX9" i="10"/>
  <c r="AX8" i="10"/>
  <c r="AX7" i="10"/>
  <c r="AX6" i="10"/>
  <c r="AX5" i="10"/>
  <c r="AX4" i="10"/>
  <c r="AR5" i="10"/>
  <c r="AR6" i="10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6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R99" i="10"/>
  <c r="AR100" i="10"/>
  <c r="AR101" i="10"/>
  <c r="AR102" i="10"/>
  <c r="AR103" i="10"/>
  <c r="AR104" i="10"/>
  <c r="AR105" i="10"/>
  <c r="AR106" i="10"/>
  <c r="AR107" i="10"/>
  <c r="AR108" i="10"/>
  <c r="AR109" i="10"/>
  <c r="AR110" i="10"/>
  <c r="AR112" i="10"/>
  <c r="AR113" i="10"/>
  <c r="AR114" i="10"/>
  <c r="AR115" i="10"/>
  <c r="AR116" i="10"/>
  <c r="AR117" i="10"/>
  <c r="AR118" i="10"/>
  <c r="AR119" i="10"/>
  <c r="AR120" i="10"/>
  <c r="AR121" i="10"/>
  <c r="AR122" i="10"/>
  <c r="AR123" i="10"/>
  <c r="AR124" i="10"/>
  <c r="AR125" i="10"/>
  <c r="AR126" i="10"/>
  <c r="AR127" i="10"/>
  <c r="AR128" i="10"/>
  <c r="AR129" i="10"/>
  <c r="AR130" i="10"/>
  <c r="AR131" i="10"/>
  <c r="AR132" i="10"/>
  <c r="AR133" i="10"/>
  <c r="AR134" i="10"/>
  <c r="AR135" i="10"/>
  <c r="AR136" i="10"/>
  <c r="AR137" i="10"/>
  <c r="AR138" i="10"/>
  <c r="AR139" i="10"/>
  <c r="AR140" i="10"/>
  <c r="AR141" i="10"/>
  <c r="AR142" i="10"/>
  <c r="AR143" i="10"/>
  <c r="AR144" i="10"/>
  <c r="AR145" i="10"/>
  <c r="AR146" i="10"/>
  <c r="AR147" i="10"/>
  <c r="AR148" i="10"/>
  <c r="AR149" i="10"/>
  <c r="AR150" i="10"/>
  <c r="AR151" i="10"/>
  <c r="AR152" i="10"/>
  <c r="AR153" i="10"/>
  <c r="AR154" i="10"/>
  <c r="AR155" i="10"/>
  <c r="AR156" i="10"/>
  <c r="AR157" i="10"/>
  <c r="AR158" i="10"/>
  <c r="AR159" i="10"/>
  <c r="AR160" i="10"/>
  <c r="AR161" i="10"/>
  <c r="AR162" i="10"/>
  <c r="AR163" i="10"/>
  <c r="AR164" i="10"/>
  <c r="AR165" i="10"/>
  <c r="AR166" i="10"/>
  <c r="AR168" i="10"/>
  <c r="AR169" i="10"/>
  <c r="AR170" i="10"/>
  <c r="AR171" i="10"/>
  <c r="AR172" i="10"/>
  <c r="AR173" i="10"/>
  <c r="AR174" i="10"/>
  <c r="AR175" i="10"/>
  <c r="AR176" i="10"/>
  <c r="AR177" i="10"/>
  <c r="AR178" i="10"/>
  <c r="AR179" i="10"/>
  <c r="AR180" i="10"/>
  <c r="AR181" i="10"/>
  <c r="AR182" i="10"/>
  <c r="AR183" i="10"/>
  <c r="AR184" i="10"/>
  <c r="AR185" i="10"/>
  <c r="AR186" i="10"/>
  <c r="AR187" i="10"/>
  <c r="AR188" i="10"/>
  <c r="AR189" i="10"/>
  <c r="AR190" i="10"/>
  <c r="AR191" i="10"/>
  <c r="AR192" i="10"/>
  <c r="AR193" i="10"/>
  <c r="AR194" i="10"/>
  <c r="AR195" i="10"/>
  <c r="AR196" i="10"/>
  <c r="AR197" i="10"/>
  <c r="AR198" i="10"/>
  <c r="AR199" i="10"/>
  <c r="AR200" i="10"/>
  <c r="AR201" i="10"/>
  <c r="AR202" i="10"/>
  <c r="AR203" i="10"/>
  <c r="AR204" i="10"/>
  <c r="AR205" i="10"/>
  <c r="AR206" i="10"/>
  <c r="AR207" i="10"/>
  <c r="AR208" i="10"/>
  <c r="AR209" i="10"/>
  <c r="AR210" i="10"/>
  <c r="AR211" i="10"/>
  <c r="AR212" i="10"/>
  <c r="AR213" i="10"/>
  <c r="AR214" i="10"/>
  <c r="AR215" i="10"/>
  <c r="AR216" i="10"/>
  <c r="AR217" i="10"/>
  <c r="AR218" i="10"/>
  <c r="AR219" i="10"/>
  <c r="AR220" i="10"/>
  <c r="AR221" i="10"/>
  <c r="AR222" i="10"/>
  <c r="AR223" i="10"/>
  <c r="AR224" i="10"/>
  <c r="AR225" i="10"/>
  <c r="AR226" i="10"/>
  <c r="AR227" i="10"/>
  <c r="AR228" i="10"/>
  <c r="AR229" i="10"/>
  <c r="AR230" i="10"/>
  <c r="AR231" i="10"/>
  <c r="AR232" i="10"/>
  <c r="AR233" i="10"/>
  <c r="AR234" i="10"/>
  <c r="AR235" i="10"/>
  <c r="AR236" i="10"/>
  <c r="AR237" i="10"/>
  <c r="AR238" i="10"/>
  <c r="AR239" i="10"/>
  <c r="AR241" i="10"/>
  <c r="AR242" i="10"/>
  <c r="AR243" i="10"/>
  <c r="AR244" i="10"/>
  <c r="AR245" i="10"/>
  <c r="AR246" i="10"/>
  <c r="AR247" i="10"/>
  <c r="AR248" i="10"/>
  <c r="AR249" i="10"/>
  <c r="AR250" i="10"/>
  <c r="AR251" i="10"/>
  <c r="AR252" i="10"/>
  <c r="AR253" i="10"/>
  <c r="AR254" i="10"/>
  <c r="AR255" i="10"/>
  <c r="AR256" i="10"/>
  <c r="AR257" i="10"/>
  <c r="AR258" i="10"/>
  <c r="AR259" i="10"/>
  <c r="AR260" i="10"/>
  <c r="AR261" i="10"/>
  <c r="AR262" i="10"/>
  <c r="AR263" i="10"/>
  <c r="AR264" i="10"/>
  <c r="AR4" i="10"/>
  <c r="AM28" i="10"/>
  <c r="AM27" i="10"/>
  <c r="AM13" i="10"/>
  <c r="AM12" i="10"/>
  <c r="AM11" i="10"/>
  <c r="AM10" i="10"/>
  <c r="AM9" i="10"/>
  <c r="AM8" i="10"/>
  <c r="AM7" i="10"/>
  <c r="AL5" i="10"/>
  <c r="AL6" i="10"/>
  <c r="AL7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6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112" i="10"/>
  <c r="AL113" i="10"/>
  <c r="AL114" i="10"/>
  <c r="AL115" i="10"/>
  <c r="AL116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66" i="10"/>
  <c r="AL168" i="10"/>
  <c r="AL169" i="10"/>
  <c r="AL170" i="10"/>
  <c r="AL171" i="10"/>
  <c r="AL172" i="10"/>
  <c r="AL173" i="10"/>
  <c r="AL174" i="10"/>
  <c r="AL175" i="10"/>
  <c r="AL176" i="10"/>
  <c r="AL177" i="10"/>
  <c r="AL178" i="10"/>
  <c r="AL179" i="10"/>
  <c r="AL180" i="10"/>
  <c r="AL181" i="10"/>
  <c r="AL182" i="10"/>
  <c r="AL183" i="10"/>
  <c r="AL184" i="10"/>
  <c r="AL185" i="10"/>
  <c r="AL186" i="10"/>
  <c r="AL187" i="10"/>
  <c r="AL188" i="10"/>
  <c r="AL189" i="10"/>
  <c r="AL190" i="10"/>
  <c r="AL191" i="10"/>
  <c r="AL192" i="10"/>
  <c r="AL193" i="10"/>
  <c r="AL194" i="10"/>
  <c r="AL195" i="10"/>
  <c r="AL196" i="10"/>
  <c r="AL197" i="10"/>
  <c r="AL198" i="10"/>
  <c r="AL199" i="10"/>
  <c r="AL200" i="10"/>
  <c r="AL201" i="10"/>
  <c r="AL202" i="10"/>
  <c r="AL203" i="10"/>
  <c r="AL204" i="10"/>
  <c r="AL205" i="10"/>
  <c r="AL206" i="10"/>
  <c r="AL207" i="10"/>
  <c r="AL208" i="10"/>
  <c r="AL209" i="10"/>
  <c r="AL210" i="10"/>
  <c r="AL211" i="10"/>
  <c r="AL212" i="10"/>
  <c r="AL213" i="10"/>
  <c r="AL214" i="10"/>
  <c r="AL215" i="10"/>
  <c r="AL216" i="10"/>
  <c r="AL217" i="10"/>
  <c r="AL218" i="10"/>
  <c r="AL219" i="10"/>
  <c r="AL220" i="10"/>
  <c r="AL221" i="10"/>
  <c r="AL222" i="10"/>
  <c r="AL223" i="10"/>
  <c r="AL224" i="10"/>
  <c r="AL225" i="10"/>
  <c r="AL226" i="10"/>
  <c r="AL227" i="10"/>
  <c r="AL228" i="10"/>
  <c r="AL229" i="10"/>
  <c r="AL230" i="10"/>
  <c r="AL231" i="10"/>
  <c r="AL232" i="10"/>
  <c r="AL233" i="10"/>
  <c r="AL234" i="10"/>
  <c r="AL235" i="10"/>
  <c r="AL236" i="10"/>
  <c r="AL237" i="10"/>
  <c r="AL238" i="10"/>
  <c r="AL239" i="10"/>
  <c r="AL241" i="10"/>
  <c r="AL242" i="10"/>
  <c r="AL243" i="10"/>
  <c r="AL244" i="10"/>
  <c r="AL245" i="10"/>
  <c r="AL246" i="10"/>
  <c r="AL247" i="10"/>
  <c r="AL248" i="10"/>
  <c r="AL249" i="10"/>
  <c r="AL250" i="10"/>
  <c r="AL251" i="10"/>
  <c r="AL252" i="10"/>
  <c r="AL253" i="10"/>
  <c r="AL254" i="10"/>
  <c r="AL255" i="10"/>
  <c r="AL256" i="10"/>
  <c r="AL257" i="10"/>
  <c r="AL258" i="10"/>
  <c r="AL259" i="10"/>
  <c r="AL260" i="10"/>
  <c r="AL261" i="10"/>
  <c r="AL262" i="10"/>
  <c r="AL263" i="10"/>
  <c r="AL264" i="10"/>
  <c r="AL265" i="10"/>
  <c r="AL266" i="10"/>
  <c r="AL4" i="10"/>
  <c r="AI4" i="10"/>
  <c r="AG29" i="10"/>
  <c r="AG28" i="10"/>
  <c r="AG27" i="10"/>
  <c r="BG248" i="10"/>
  <c r="BG247" i="10"/>
  <c r="BG246" i="10"/>
  <c r="BG244" i="10"/>
  <c r="BG243" i="10"/>
  <c r="BG242" i="10"/>
  <c r="BG54" i="10"/>
  <c r="AF5" i="10"/>
  <c r="AF6" i="10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6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4" i="10"/>
  <c r="Q111" i="10" l="1"/>
  <c r="S111" i="10"/>
  <c r="Q101" i="10"/>
  <c r="T101" i="10"/>
  <c r="R111" i="10"/>
  <c r="S101" i="10"/>
  <c r="U14" i="10"/>
  <c r="R14" i="10" s="1"/>
  <c r="V14" i="10"/>
  <c r="V32" i="10"/>
  <c r="U15" i="10"/>
  <c r="R15" i="10" s="1"/>
  <c r="V15" i="10"/>
  <c r="W68" i="10"/>
  <c r="V63" i="10"/>
  <c r="U68" i="10"/>
  <c r="S68" i="10" s="1"/>
  <c r="V68" i="10"/>
  <c r="U4" i="10"/>
  <c r="W4" i="10"/>
  <c r="U32" i="10"/>
  <c r="T32" i="10" s="1"/>
  <c r="W14" i="10"/>
  <c r="P27" i="10"/>
  <c r="P8" i="10"/>
  <c r="U8" i="10" s="1"/>
  <c r="P12" i="10"/>
  <c r="P28" i="10"/>
  <c r="P9" i="10"/>
  <c r="W9" i="10" s="1"/>
  <c r="P13" i="10"/>
  <c r="P29" i="10"/>
  <c r="V29" i="10" s="1"/>
  <c r="P10" i="10"/>
  <c r="V10" i="10" s="1"/>
  <c r="P7" i="10"/>
  <c r="U7" i="10" s="1"/>
  <c r="P11" i="10"/>
  <c r="J36" i="10"/>
  <c r="K36" i="10" s="1"/>
  <c r="L36" i="10" s="1"/>
  <c r="J193" i="10"/>
  <c r="K193" i="10" s="1"/>
  <c r="L193" i="10" s="1"/>
  <c r="J197" i="10"/>
  <c r="K197" i="10" s="1"/>
  <c r="L197" i="10" s="1"/>
  <c r="J99" i="10"/>
  <c r="K99" i="10" s="1"/>
  <c r="L99" i="10" s="1"/>
  <c r="J86" i="10"/>
  <c r="K86" i="10" s="1"/>
  <c r="L86" i="10" s="1"/>
  <c r="J194" i="10"/>
  <c r="K194" i="10" s="1"/>
  <c r="L194" i="10" s="1"/>
  <c r="J119" i="10"/>
  <c r="K119" i="10" s="1"/>
  <c r="L119" i="10" s="1"/>
  <c r="J103" i="10"/>
  <c r="K103" i="10" s="1"/>
  <c r="L103" i="10" s="1"/>
  <c r="J25" i="10"/>
  <c r="K25" i="10" s="1"/>
  <c r="L25" i="10" s="1"/>
  <c r="J17" i="10"/>
  <c r="K17" i="10" s="1"/>
  <c r="L17" i="10" s="1"/>
  <c r="J148" i="10"/>
  <c r="K148" i="10" s="1"/>
  <c r="L148" i="10" s="1"/>
  <c r="J136" i="10"/>
  <c r="K136" i="10" s="1"/>
  <c r="L136" i="10" s="1"/>
  <c r="J105" i="10"/>
  <c r="K105" i="10" s="1"/>
  <c r="L105" i="10" s="1"/>
  <c r="J59" i="10"/>
  <c r="K59" i="10" s="1"/>
  <c r="L59" i="10" s="1"/>
  <c r="J51" i="10"/>
  <c r="K51" i="10" s="1"/>
  <c r="L51" i="10" s="1"/>
  <c r="J34" i="10"/>
  <c r="K34" i="10" s="1"/>
  <c r="L34" i="10" s="1"/>
  <c r="J163" i="10"/>
  <c r="K163" i="10" s="1"/>
  <c r="L163" i="10" s="1"/>
  <c r="J178" i="10"/>
  <c r="K178" i="10" s="1"/>
  <c r="L178" i="10" s="1"/>
  <c r="J159" i="10"/>
  <c r="K159" i="10" s="1"/>
  <c r="L159" i="10" s="1"/>
  <c r="J154" i="10"/>
  <c r="K154" i="10" s="1"/>
  <c r="L154" i="10" s="1"/>
  <c r="J101" i="10"/>
  <c r="K101" i="10" s="1"/>
  <c r="L101" i="10" s="1"/>
  <c r="J6" i="10"/>
  <c r="K6" i="10" s="1"/>
  <c r="L6" i="10" s="1"/>
  <c r="J185" i="10"/>
  <c r="K185" i="10" s="1"/>
  <c r="L185" i="10" s="1"/>
  <c r="J155" i="10"/>
  <c r="K155" i="10" s="1"/>
  <c r="L155" i="10" s="1"/>
  <c r="J143" i="10"/>
  <c r="K143" i="10" s="1"/>
  <c r="L143" i="10" s="1"/>
  <c r="J131" i="10"/>
  <c r="K131" i="10" s="1"/>
  <c r="L131" i="10" s="1"/>
  <c r="J85" i="10"/>
  <c r="K85" i="10" s="1"/>
  <c r="L85" i="10" s="1"/>
  <c r="J158" i="10"/>
  <c r="K158" i="10" s="1"/>
  <c r="L158" i="10" s="1"/>
  <c r="J49" i="10"/>
  <c r="K49" i="10" s="1"/>
  <c r="L49" i="10" s="1"/>
  <c r="J186" i="10"/>
  <c r="K186" i="10" s="1"/>
  <c r="L186" i="10" s="1"/>
  <c r="J40" i="10"/>
  <c r="K40" i="10" s="1"/>
  <c r="L40" i="10" s="1"/>
  <c r="J162" i="10"/>
  <c r="K162" i="10" s="1"/>
  <c r="L162" i="10" s="1"/>
  <c r="J145" i="10"/>
  <c r="K145" i="10" s="1"/>
  <c r="L145" i="10" s="1"/>
  <c r="J133" i="10"/>
  <c r="K133" i="10" s="1"/>
  <c r="L133" i="10" s="1"/>
  <c r="J62" i="10"/>
  <c r="K62" i="10" s="1"/>
  <c r="L62" i="10" s="1"/>
  <c r="J60" i="10"/>
  <c r="K60" i="10" s="1"/>
  <c r="L60" i="10" s="1"/>
  <c r="J57" i="10"/>
  <c r="K57" i="10" s="1"/>
  <c r="L57" i="10" s="1"/>
  <c r="J151" i="10"/>
  <c r="K151" i="10" s="1"/>
  <c r="L151" i="10" s="1"/>
  <c r="J139" i="10"/>
  <c r="K139" i="10" s="1"/>
  <c r="L139" i="10" s="1"/>
  <c r="J127" i="10"/>
  <c r="K127" i="10" s="1"/>
  <c r="L127" i="10" s="1"/>
  <c r="J120" i="10"/>
  <c r="K120" i="10" s="1"/>
  <c r="L120" i="10" s="1"/>
  <c r="J115" i="10"/>
  <c r="K115" i="10" s="1"/>
  <c r="L115" i="10" s="1"/>
  <c r="J111" i="10"/>
  <c r="K111" i="10" s="1"/>
  <c r="L111" i="10" s="1"/>
  <c r="J80" i="10"/>
  <c r="K80" i="10" s="1"/>
  <c r="L80" i="10" s="1"/>
  <c r="J23" i="10"/>
  <c r="K23" i="10" s="1"/>
  <c r="L23" i="10" s="1"/>
  <c r="J164" i="10"/>
  <c r="K164" i="10" s="1"/>
  <c r="L164" i="10" s="1"/>
  <c r="J160" i="10"/>
  <c r="K160" i="10" s="1"/>
  <c r="L160" i="10" s="1"/>
  <c r="J156" i="10"/>
  <c r="K156" i="10" s="1"/>
  <c r="L156" i="10" s="1"/>
  <c r="J147" i="10"/>
  <c r="K147" i="10" s="1"/>
  <c r="L147" i="10" s="1"/>
  <c r="J144" i="10"/>
  <c r="K144" i="10" s="1"/>
  <c r="L144" i="10" s="1"/>
  <c r="J141" i="10"/>
  <c r="K141" i="10" s="1"/>
  <c r="L141" i="10" s="1"/>
  <c r="J135" i="10"/>
  <c r="K135" i="10" s="1"/>
  <c r="L135" i="10" s="1"/>
  <c r="J132" i="10"/>
  <c r="K132" i="10" s="1"/>
  <c r="L132" i="10" s="1"/>
  <c r="J129" i="10"/>
  <c r="K129" i="10" s="1"/>
  <c r="L129" i="10" s="1"/>
  <c r="J113" i="10"/>
  <c r="K113" i="10" s="1"/>
  <c r="L113" i="10" s="1"/>
  <c r="J55" i="10"/>
  <c r="K55" i="10" s="1"/>
  <c r="L55" i="10" s="1"/>
  <c r="J38" i="10"/>
  <c r="K38" i="10" s="1"/>
  <c r="L38" i="10" s="1"/>
  <c r="J30" i="10"/>
  <c r="K30" i="10" s="1"/>
  <c r="L30" i="10" s="1"/>
  <c r="J21" i="10"/>
  <c r="K21" i="10" s="1"/>
  <c r="L21" i="10" s="1"/>
  <c r="J166" i="10"/>
  <c r="K166" i="10" s="1"/>
  <c r="L166" i="10" s="1"/>
  <c r="J161" i="10"/>
  <c r="K161" i="10" s="1"/>
  <c r="L161" i="10" s="1"/>
  <c r="J157" i="10"/>
  <c r="K157" i="10" s="1"/>
  <c r="L157" i="10" s="1"/>
  <c r="J153" i="10"/>
  <c r="K153" i="10" s="1"/>
  <c r="L153" i="10" s="1"/>
  <c r="J152" i="10"/>
  <c r="K152" i="10" s="1"/>
  <c r="L152" i="10" s="1"/>
  <c r="J149" i="10"/>
  <c r="K149" i="10" s="1"/>
  <c r="L149" i="10" s="1"/>
  <c r="J140" i="10"/>
  <c r="K140" i="10" s="1"/>
  <c r="L140" i="10" s="1"/>
  <c r="J137" i="10"/>
  <c r="K137" i="10" s="1"/>
  <c r="L137" i="10" s="1"/>
  <c r="J128" i="10"/>
  <c r="K128" i="10" s="1"/>
  <c r="L128" i="10" s="1"/>
  <c r="J125" i="10"/>
  <c r="K125" i="10" s="1"/>
  <c r="L125" i="10" s="1"/>
  <c r="J123" i="10"/>
  <c r="K123" i="10" s="1"/>
  <c r="L123" i="10" s="1"/>
  <c r="J121" i="10"/>
  <c r="K121" i="10" s="1"/>
  <c r="L121" i="10" s="1"/>
  <c r="J109" i="10"/>
  <c r="K109" i="10" s="1"/>
  <c r="L109" i="10" s="1"/>
  <c r="J93" i="10"/>
  <c r="K93" i="10" s="1"/>
  <c r="L93" i="10" s="1"/>
  <c r="J66" i="10"/>
  <c r="K66" i="10" s="1"/>
  <c r="L66" i="10" s="1"/>
  <c r="J63" i="10"/>
  <c r="K63" i="10" s="1"/>
  <c r="L63" i="10" s="1"/>
  <c r="J53" i="10"/>
  <c r="K53" i="10" s="1"/>
  <c r="L53" i="10" s="1"/>
  <c r="J46" i="10"/>
  <c r="K46" i="10" s="1"/>
  <c r="L46" i="10" s="1"/>
  <c r="J19" i="10"/>
  <c r="K19" i="10" s="1"/>
  <c r="L19" i="10" s="1"/>
  <c r="J222" i="10"/>
  <c r="K222" i="10" s="1"/>
  <c r="L222" i="10" s="1"/>
  <c r="J262" i="10"/>
  <c r="K262" i="10" s="1"/>
  <c r="L262" i="10" s="1"/>
  <c r="J247" i="10"/>
  <c r="K247" i="10" s="1"/>
  <c r="L247" i="10" s="1"/>
  <c r="J214" i="10"/>
  <c r="K214" i="10" s="1"/>
  <c r="L214" i="10" s="1"/>
  <c r="J260" i="10"/>
  <c r="K260" i="10" s="1"/>
  <c r="L260" i="10" s="1"/>
  <c r="J252" i="10"/>
  <c r="K252" i="10" s="1"/>
  <c r="L252" i="10" s="1"/>
  <c r="J249" i="10"/>
  <c r="K249" i="10" s="1"/>
  <c r="L249" i="10" s="1"/>
  <c r="J224" i="10"/>
  <c r="K224" i="10" s="1"/>
  <c r="L224" i="10" s="1"/>
  <c r="J212" i="10"/>
  <c r="K212" i="10" s="1"/>
  <c r="L212" i="10" s="1"/>
  <c r="J203" i="10"/>
  <c r="K203" i="10" s="1"/>
  <c r="L203" i="10" s="1"/>
  <c r="J183" i="10"/>
  <c r="K183" i="10" s="1"/>
  <c r="L183" i="10" s="1"/>
  <c r="J91" i="10"/>
  <c r="K91" i="10" s="1"/>
  <c r="L91" i="10" s="1"/>
  <c r="J73" i="10"/>
  <c r="K73" i="10" s="1"/>
  <c r="L73" i="10" s="1"/>
  <c r="J263" i="10"/>
  <c r="K263" i="10" s="1"/>
  <c r="L263" i="10" s="1"/>
  <c r="J261" i="10"/>
  <c r="K261" i="10" s="1"/>
  <c r="L261" i="10" s="1"/>
  <c r="J248" i="10"/>
  <c r="K248" i="10" s="1"/>
  <c r="L248" i="10" s="1"/>
  <c r="J246" i="10"/>
  <c r="K246" i="10" s="1"/>
  <c r="L246" i="10" s="1"/>
  <c r="J244" i="10"/>
  <c r="K244" i="10" s="1"/>
  <c r="L244" i="10" s="1"/>
  <c r="J242" i="10"/>
  <c r="K242" i="10" s="1"/>
  <c r="L242" i="10" s="1"/>
  <c r="J239" i="10"/>
  <c r="K239" i="10" s="1"/>
  <c r="L239" i="10" s="1"/>
  <c r="J215" i="10"/>
  <c r="K215" i="10" s="1"/>
  <c r="L215" i="10" s="1"/>
  <c r="J213" i="10"/>
  <c r="K213" i="10" s="1"/>
  <c r="L213" i="10" s="1"/>
  <c r="J211" i="10"/>
  <c r="K211" i="10" s="1"/>
  <c r="L211" i="10" s="1"/>
  <c r="J209" i="10"/>
  <c r="K209" i="10" s="1"/>
  <c r="L209" i="10" s="1"/>
  <c r="J204" i="10"/>
  <c r="K204" i="10" s="1"/>
  <c r="L204" i="10" s="1"/>
  <c r="J79" i="10"/>
  <c r="K79" i="10" s="1"/>
  <c r="L79" i="10" s="1"/>
  <c r="J191" i="10"/>
  <c r="K191" i="10" s="1"/>
  <c r="L191" i="10" s="1"/>
  <c r="J150" i="10"/>
  <c r="K150" i="10" s="1"/>
  <c r="L150" i="10" s="1"/>
  <c r="J146" i="10"/>
  <c r="K146" i="10" s="1"/>
  <c r="L146" i="10" s="1"/>
  <c r="J142" i="10"/>
  <c r="K142" i="10" s="1"/>
  <c r="L142" i="10" s="1"/>
  <c r="J138" i="10"/>
  <c r="K138" i="10" s="1"/>
  <c r="L138" i="10" s="1"/>
  <c r="J134" i="10"/>
  <c r="K134" i="10" s="1"/>
  <c r="L134" i="10" s="1"/>
  <c r="J130" i="10"/>
  <c r="K130" i="10" s="1"/>
  <c r="L130" i="10" s="1"/>
  <c r="J126" i="10"/>
  <c r="K126" i="10" s="1"/>
  <c r="L126" i="10" s="1"/>
  <c r="J122" i="10"/>
  <c r="K122" i="10" s="1"/>
  <c r="L122" i="10" s="1"/>
  <c r="J74" i="10"/>
  <c r="K74" i="10" s="1"/>
  <c r="L74" i="10" s="1"/>
  <c r="J61" i="10"/>
  <c r="K61" i="10" s="1"/>
  <c r="L61" i="10" s="1"/>
  <c r="J106" i="10"/>
  <c r="K106" i="10" s="1"/>
  <c r="L106" i="10" s="1"/>
  <c r="J89" i="10"/>
  <c r="K89" i="10" s="1"/>
  <c r="L89" i="10" s="1"/>
  <c r="J70" i="10"/>
  <c r="K70" i="10" s="1"/>
  <c r="L70" i="10" s="1"/>
  <c r="J112" i="10"/>
  <c r="K112" i="10" s="1"/>
  <c r="L112" i="10" s="1"/>
  <c r="J92" i="10"/>
  <c r="K92" i="10" s="1"/>
  <c r="L92" i="10" s="1"/>
  <c r="J88" i="10"/>
  <c r="K88" i="10" s="1"/>
  <c r="L88" i="10" s="1"/>
  <c r="J75" i="10"/>
  <c r="K75" i="10" s="1"/>
  <c r="L75" i="10" s="1"/>
  <c r="J72" i="10"/>
  <c r="K72" i="10" s="1"/>
  <c r="L72" i="10" s="1"/>
  <c r="J69" i="10"/>
  <c r="K69" i="10" s="1"/>
  <c r="L69" i="10" s="1"/>
  <c r="J68" i="10"/>
  <c r="K68" i="10" s="1"/>
  <c r="L68" i="10" s="1"/>
  <c r="J67" i="10"/>
  <c r="K67" i="10" s="1"/>
  <c r="L67" i="10" s="1"/>
  <c r="J65" i="10"/>
  <c r="K65" i="10" s="1"/>
  <c r="L65" i="10" s="1"/>
  <c r="J114" i="10"/>
  <c r="K114" i="10" s="1"/>
  <c r="L114" i="10" s="1"/>
  <c r="J104" i="10"/>
  <c r="K104" i="10" s="1"/>
  <c r="L104" i="10" s="1"/>
  <c r="J102" i="10"/>
  <c r="K102" i="10" s="1"/>
  <c r="L102" i="10" s="1"/>
  <c r="J100" i="10"/>
  <c r="K100" i="10" s="1"/>
  <c r="L100" i="10" s="1"/>
  <c r="J98" i="10"/>
  <c r="K98" i="10" s="1"/>
  <c r="L98" i="10" s="1"/>
  <c r="J94" i="10"/>
  <c r="K94" i="10" s="1"/>
  <c r="L94" i="10" s="1"/>
  <c r="J87" i="10"/>
  <c r="K87" i="10" s="1"/>
  <c r="L87" i="10" s="1"/>
  <c r="J84" i="10"/>
  <c r="K84" i="10" s="1"/>
  <c r="L84" i="10" s="1"/>
  <c r="J77" i="10"/>
  <c r="K77" i="10" s="1"/>
  <c r="L77" i="10" s="1"/>
  <c r="J71" i="10"/>
  <c r="K71" i="10" s="1"/>
  <c r="L71" i="10" s="1"/>
  <c r="J5" i="10"/>
  <c r="K5" i="10" s="1"/>
  <c r="L5" i="10" s="1"/>
  <c r="J64" i="10"/>
  <c r="K64" i="10" s="1"/>
  <c r="L64" i="10" s="1"/>
  <c r="J58" i="10"/>
  <c r="K58" i="10" s="1"/>
  <c r="L58" i="10" s="1"/>
  <c r="J56" i="10"/>
  <c r="K56" i="10" s="1"/>
  <c r="L56" i="10" s="1"/>
  <c r="J54" i="10"/>
  <c r="K54" i="10" s="1"/>
  <c r="L54" i="10" s="1"/>
  <c r="J50" i="10"/>
  <c r="K50" i="10" s="1"/>
  <c r="L50" i="10" s="1"/>
  <c r="J48" i="10"/>
  <c r="K48" i="10" s="1"/>
  <c r="L48" i="10" s="1"/>
  <c r="J39" i="10"/>
  <c r="K39" i="10" s="1"/>
  <c r="L39" i="10" s="1"/>
  <c r="J37" i="10"/>
  <c r="K37" i="10" s="1"/>
  <c r="L37" i="10" s="1"/>
  <c r="J35" i="10"/>
  <c r="K35" i="10" s="1"/>
  <c r="L35" i="10" s="1"/>
  <c r="J33" i="10"/>
  <c r="K33" i="10" s="1"/>
  <c r="L33" i="10" s="1"/>
  <c r="J52" i="10"/>
  <c r="K52" i="10" s="1"/>
  <c r="L52" i="10" s="1"/>
  <c r="J26" i="10"/>
  <c r="K26" i="10" s="1"/>
  <c r="L26" i="10" s="1"/>
  <c r="J24" i="10"/>
  <c r="K24" i="10" s="1"/>
  <c r="L24" i="10" s="1"/>
  <c r="J22" i="10"/>
  <c r="K22" i="10" s="1"/>
  <c r="L22" i="10" s="1"/>
  <c r="J20" i="10"/>
  <c r="K20" i="10" s="1"/>
  <c r="L20" i="10" s="1"/>
  <c r="J18" i="10"/>
  <c r="K18" i="10" s="1"/>
  <c r="L18" i="10" s="1"/>
  <c r="J16" i="10"/>
  <c r="K16" i="10" s="1"/>
  <c r="L16" i="10" s="1"/>
  <c r="S14" i="10" l="1"/>
  <c r="Q14" i="10"/>
  <c r="W7" i="10"/>
  <c r="T14" i="10"/>
  <c r="Q15" i="10"/>
  <c r="Q32" i="10"/>
  <c r="R68" i="10"/>
  <c r="T68" i="10"/>
  <c r="T15" i="10"/>
  <c r="S32" i="10"/>
  <c r="W10" i="10"/>
  <c r="Q68" i="10"/>
  <c r="S15" i="10"/>
  <c r="R32" i="10"/>
  <c r="J32" i="10" s="1"/>
  <c r="K32" i="10" s="1"/>
  <c r="L32" i="10" s="1"/>
  <c r="W8" i="10"/>
  <c r="U11" i="10"/>
  <c r="S11" i="10" s="1"/>
  <c r="J11" i="10" s="1"/>
  <c r="K11" i="10" s="1"/>
  <c r="L11" i="10" s="1"/>
  <c r="V11" i="10"/>
  <c r="V8" i="10"/>
  <c r="U13" i="10"/>
  <c r="T13" i="10" s="1"/>
  <c r="V13" i="10"/>
  <c r="V23" i="10"/>
  <c r="U28" i="10"/>
  <c r="Q28" i="10" s="1"/>
  <c r="V7" i="10"/>
  <c r="U12" i="10"/>
  <c r="Q12" i="10" s="1"/>
  <c r="V12" i="10"/>
  <c r="V22" i="10"/>
  <c r="U27" i="10"/>
  <c r="S27" i="10" s="1"/>
  <c r="V24" i="10"/>
  <c r="U29" i="10"/>
  <c r="R29" i="10" s="1"/>
  <c r="J29" i="10" s="1"/>
  <c r="K29" i="10" s="1"/>
  <c r="L29" i="10" s="1"/>
  <c r="U9" i="10"/>
  <c r="T9" i="10" s="1"/>
  <c r="V4" i="10"/>
  <c r="W12" i="10"/>
  <c r="V27" i="10"/>
  <c r="W28" i="10"/>
  <c r="V9" i="10"/>
  <c r="W11" i="10"/>
  <c r="U10" i="10"/>
  <c r="Q10" i="10" s="1"/>
  <c r="V5" i="10"/>
  <c r="W13" i="10"/>
  <c r="V28" i="10"/>
  <c r="W27" i="10"/>
  <c r="S8" i="10"/>
  <c r="J8" i="10" s="1"/>
  <c r="K8" i="10" s="1"/>
  <c r="L8" i="10" s="1"/>
  <c r="T8" i="10"/>
  <c r="Q8" i="10"/>
  <c r="R8" i="10"/>
  <c r="Q7" i="10"/>
  <c r="T7" i="10"/>
  <c r="R7" i="10"/>
  <c r="S7" i="10"/>
  <c r="J7" i="10" s="1"/>
  <c r="K7" i="10" s="1"/>
  <c r="L7" i="10" s="1"/>
  <c r="J255" i="10"/>
  <c r="K255" i="10" s="1"/>
  <c r="L255" i="10" s="1"/>
  <c r="J15" i="10"/>
  <c r="K15" i="10" s="1"/>
  <c r="L15" i="10" s="1"/>
  <c r="J250" i="10"/>
  <c r="K250" i="10" s="1"/>
  <c r="L250" i="10" s="1"/>
  <c r="J205" i="10"/>
  <c r="K205" i="10" s="1"/>
  <c r="L205" i="10" s="1"/>
  <c r="J243" i="10"/>
  <c r="K243" i="10" s="1"/>
  <c r="L243" i="10" s="1"/>
  <c r="J223" i="10"/>
  <c r="K223" i="10" s="1"/>
  <c r="L223" i="10" s="1"/>
  <c r="J254" i="10"/>
  <c r="K254" i="10" s="1"/>
  <c r="L254" i="10" s="1"/>
  <c r="J253" i="10"/>
  <c r="K253" i="10" s="1"/>
  <c r="L253" i="10" s="1"/>
  <c r="J245" i="10"/>
  <c r="K245" i="10" s="1"/>
  <c r="L245" i="10" s="1"/>
  <c r="J210" i="10"/>
  <c r="J192" i="10"/>
  <c r="K192" i="10" s="1"/>
  <c r="L192" i="10" s="1"/>
  <c r="J190" i="10"/>
  <c r="K190" i="10" s="1"/>
  <c r="L190" i="10" s="1"/>
  <c r="J14" i="10"/>
  <c r="K14" i="10" s="1"/>
  <c r="L14" i="10" s="1"/>
  <c r="R27" i="10" l="1"/>
  <c r="J27" i="10" s="1"/>
  <c r="K27" i="10" s="1"/>
  <c r="L27" i="10" s="1"/>
  <c r="Q11" i="10"/>
  <c r="R12" i="10"/>
  <c r="T12" i="10"/>
  <c r="R11" i="10"/>
  <c r="S12" i="10"/>
  <c r="J12" i="10" s="1"/>
  <c r="K12" i="10" s="1"/>
  <c r="L12" i="10" s="1"/>
  <c r="T11" i="10"/>
  <c r="R13" i="10"/>
  <c r="Q29" i="10"/>
  <c r="Q9" i="10"/>
  <c r="R28" i="10"/>
  <c r="J28" i="10" s="1"/>
  <c r="K28" i="10" s="1"/>
  <c r="L28" i="10" s="1"/>
  <c r="T10" i="10"/>
  <c r="T29" i="10"/>
  <c r="S29" i="10"/>
  <c r="R10" i="10"/>
  <c r="T28" i="10"/>
  <c r="S9" i="10"/>
  <c r="J9" i="10" s="1"/>
  <c r="K9" i="10" s="1"/>
  <c r="L9" i="10" s="1"/>
  <c r="R9" i="10"/>
  <c r="S10" i="10"/>
  <c r="J10" i="10" s="1"/>
  <c r="K10" i="10" s="1"/>
  <c r="L10" i="10" s="1"/>
  <c r="S28" i="10"/>
  <c r="Q27" i="10"/>
  <c r="S13" i="10"/>
  <c r="J13" i="10" s="1"/>
  <c r="K13" i="10" s="1"/>
  <c r="L13" i="10" s="1"/>
  <c r="T27" i="10"/>
  <c r="Q13" i="10"/>
  <c r="K210" i="10"/>
  <c r="L210" i="10" s="1"/>
  <c r="J241" i="10"/>
  <c r="K241" i="10" s="1"/>
  <c r="L241" i="10" s="1"/>
  <c r="J189" i="10"/>
  <c r="K189" i="10" s="1"/>
  <c r="L189" i="10" s="1"/>
  <c r="AO263" i="10" l="1"/>
  <c r="AI263" i="10"/>
  <c r="AC263" i="10"/>
  <c r="G263" i="10"/>
  <c r="F263" i="10" l="1"/>
  <c r="AU262" i="10" l="1"/>
  <c r="AO262" i="10"/>
  <c r="AI262" i="10"/>
  <c r="AC262" i="10"/>
  <c r="G262" i="10"/>
  <c r="AI261" i="10"/>
  <c r="AC261" i="10"/>
  <c r="AO260" i="10"/>
  <c r="AI260" i="10"/>
  <c r="AC260" i="10"/>
  <c r="F262" i="10" l="1"/>
  <c r="M258" i="10" l="1"/>
  <c r="M257" i="10"/>
  <c r="J257" i="10" l="1"/>
  <c r="K257" i="10" s="1"/>
  <c r="L257" i="10" s="1"/>
  <c r="J258" i="10"/>
  <c r="K258" i="10" s="1"/>
  <c r="L258" i="10" s="1"/>
  <c r="J256" i="10" l="1"/>
  <c r="K256" i="10" s="1"/>
  <c r="L256" i="10" s="1"/>
  <c r="AO218" i="10" l="1"/>
  <c r="AI213" i="10"/>
  <c r="J218" i="10" l="1"/>
  <c r="K218" i="10" s="1"/>
  <c r="L218" i="10" s="1"/>
  <c r="AC169" i="10"/>
  <c r="AO186" i="10"/>
  <c r="G186" i="10"/>
  <c r="F186" i="10" l="1"/>
  <c r="M117" i="10"/>
  <c r="J117" i="10" s="1"/>
  <c r="K117" i="10" s="1"/>
  <c r="L117" i="10" s="1"/>
  <c r="AI110" i="10"/>
  <c r="AO109" i="10"/>
  <c r="AI109" i="10"/>
  <c r="AC109" i="10"/>
  <c r="AU101" i="10"/>
  <c r="AO101" i="10"/>
  <c r="M97" i="10" l="1"/>
  <c r="J97" i="10" s="1"/>
  <c r="K97" i="10" s="1"/>
  <c r="L97" i="10" s="1"/>
  <c r="M96" i="10"/>
  <c r="J96" i="10" s="1"/>
  <c r="K96" i="10" s="1"/>
  <c r="L96" i="10" s="1"/>
  <c r="M95" i="10"/>
  <c r="J95" i="10" s="1"/>
  <c r="K95" i="10" s="1"/>
  <c r="L95" i="10" s="1"/>
  <c r="M82" i="10"/>
  <c r="J82" i="10" s="1"/>
  <c r="K82" i="10" s="1"/>
  <c r="L82" i="10" s="1"/>
  <c r="M78" i="10"/>
  <c r="J78" i="10" s="1"/>
  <c r="K78" i="10" s="1"/>
  <c r="L78" i="10" s="1"/>
  <c r="G75" i="10"/>
  <c r="G76" i="10"/>
  <c r="G77" i="10"/>
  <c r="M31" i="10" l="1"/>
  <c r="J31" i="10" s="1"/>
  <c r="K31" i="10" s="1"/>
  <c r="L31" i="10" s="1"/>
  <c r="M225" i="10" l="1"/>
  <c r="J225" i="10" l="1"/>
  <c r="K225" i="10" s="1"/>
  <c r="L225" i="10" s="1"/>
  <c r="G225" i="10" l="1"/>
  <c r="F225" i="10"/>
  <c r="G185" i="10" l="1"/>
  <c r="F185" i="10"/>
  <c r="G164" i="10"/>
  <c r="F164" i="10"/>
  <c r="AO4" i="10" l="1"/>
  <c r="AO5" i="10"/>
  <c r="AO6" i="10"/>
  <c r="AO249" i="10" l="1"/>
  <c r="AI249" i="10"/>
  <c r="AI250" i="10"/>
  <c r="AI251" i="10"/>
  <c r="AI252" i="10"/>
  <c r="AI253" i="10"/>
  <c r="AI254" i="10"/>
  <c r="AI255" i="10"/>
  <c r="AU69" i="10"/>
  <c r="AU70" i="10"/>
  <c r="AU71" i="10"/>
  <c r="AU72" i="10"/>
  <c r="AU73" i="10"/>
  <c r="AU74" i="10"/>
  <c r="AU75" i="10"/>
  <c r="AU76" i="10"/>
  <c r="AU77" i="10"/>
  <c r="AU78" i="10"/>
  <c r="AU79" i="10"/>
  <c r="AU46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" i="10"/>
  <c r="AU7" i="10"/>
  <c r="AU8" i="10"/>
  <c r="AU9" i="10"/>
  <c r="AU10" i="10"/>
  <c r="AU11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C30" i="10"/>
  <c r="G255" i="10" l="1"/>
  <c r="AO255" i="10"/>
  <c r="AC255" i="10"/>
  <c r="F255" i="10" l="1"/>
  <c r="AC213" i="10" l="1"/>
  <c r="AU254" i="10" l="1"/>
  <c r="AO254" i="10"/>
  <c r="AO253" i="10"/>
  <c r="AU253" i="10"/>
  <c r="AC253" i="10"/>
  <c r="AU252" i="10"/>
  <c r="AO252" i="10"/>
  <c r="AC252" i="10"/>
  <c r="G252" i="10" l="1"/>
  <c r="F254" i="10"/>
  <c r="AC254" i="10"/>
  <c r="G253" i="10"/>
  <c r="F252" i="10" l="1"/>
  <c r="G254" i="10"/>
  <c r="F253" i="10"/>
  <c r="AU166" i="10" l="1"/>
  <c r="AU255" i="10"/>
  <c r="G250" i="10" l="1"/>
  <c r="AU250" i="10"/>
  <c r="AO250" i="10"/>
  <c r="AC250" i="10"/>
  <c r="F250" i="10" l="1"/>
  <c r="G224" i="10"/>
  <c r="AI246" i="10"/>
  <c r="AU249" i="10"/>
  <c r="AU248" i="10"/>
  <c r="AU247" i="10"/>
  <c r="AU245" i="10"/>
  <c r="AU244" i="10"/>
  <c r="AU243" i="10"/>
  <c r="AU242" i="10"/>
  <c r="AO243" i="10"/>
  <c r="AO244" i="10"/>
  <c r="AO245" i="10"/>
  <c r="AO246" i="10"/>
  <c r="AO247" i="10"/>
  <c r="AO248" i="10"/>
  <c r="AO242" i="10"/>
  <c r="AI248" i="10"/>
  <c r="AI247" i="10"/>
  <c r="AI245" i="10"/>
  <c r="AI244" i="10"/>
  <c r="AI243" i="10"/>
  <c r="AC249" i="10"/>
  <c r="AC248" i="10"/>
  <c r="AC247" i="10"/>
  <c r="AC246" i="10"/>
  <c r="AC245" i="10"/>
  <c r="AC244" i="10"/>
  <c r="AC243" i="10"/>
  <c r="F224" i="10" l="1"/>
  <c r="AI242" i="10"/>
  <c r="AC242" i="10"/>
  <c r="J219" i="10" l="1"/>
  <c r="K219" i="10" s="1"/>
  <c r="L219" i="10" s="1"/>
  <c r="E5" i="18" l="1"/>
  <c r="F5" i="18" s="1"/>
  <c r="C5" i="18"/>
  <c r="B5" i="18"/>
  <c r="AU5" i="10" l="1"/>
  <c r="AC172" i="10" l="1"/>
  <c r="AC173" i="10"/>
  <c r="AC174" i="10"/>
  <c r="AC175" i="10"/>
  <c r="AC176" i="10"/>
  <c r="G6" i="10" l="1"/>
  <c r="F6" i="10"/>
  <c r="F27" i="10" l="1"/>
  <c r="F28" i="10"/>
  <c r="G29" i="10"/>
  <c r="G30" i="10"/>
  <c r="AC29" i="10"/>
  <c r="G35" i="10" l="1"/>
  <c r="F35" i="10"/>
  <c r="F30" i="10"/>
  <c r="G28" i="10"/>
  <c r="F29" i="10"/>
  <c r="G27" i="10"/>
  <c r="AI28" i="10"/>
  <c r="AI27" i="10"/>
  <c r="AC28" i="10"/>
  <c r="AC27" i="10"/>
  <c r="AU222" i="10" l="1"/>
  <c r="AO222" i="10"/>
  <c r="AI222" i="10"/>
  <c r="AC222" i="10"/>
  <c r="AO53" i="10" l="1"/>
  <c r="AI53" i="10"/>
  <c r="F53" i="10"/>
  <c r="AC53" i="10"/>
  <c r="G53" i="10" l="1"/>
  <c r="AO75" i="10"/>
  <c r="AI75" i="10"/>
  <c r="AC75" i="10"/>
  <c r="F75" i="10" l="1"/>
  <c r="AO209" i="10"/>
  <c r="AO205" i="10"/>
  <c r="AI209" i="10"/>
  <c r="AC209" i="10"/>
  <c r="AI6" i="10" l="1"/>
  <c r="AI35" i="10"/>
  <c r="AI34" i="10"/>
  <c r="AI33" i="10"/>
  <c r="AI46" i="10"/>
  <c r="AI60" i="10"/>
  <c r="AO121" i="10"/>
  <c r="AO122" i="10"/>
  <c r="AI66" i="10" l="1"/>
  <c r="AI65" i="10"/>
  <c r="AI64" i="10"/>
  <c r="AI63" i="10"/>
  <c r="AI62" i="10"/>
  <c r="AI74" i="10"/>
  <c r="AI80" i="10"/>
  <c r="AO211" i="10"/>
  <c r="AO204" i="10"/>
  <c r="AO203" i="10"/>
  <c r="AO197" i="10"/>
  <c r="AO212" i="10"/>
  <c r="P9" i="17" l="1"/>
  <c r="P10" i="17"/>
  <c r="P11" i="17"/>
  <c r="P7" i="17"/>
  <c r="N9" i="17"/>
  <c r="N10" i="17"/>
  <c r="N11" i="17"/>
  <c r="N7" i="17"/>
  <c r="I27" i="17"/>
  <c r="M22" i="17"/>
  <c r="M21" i="17"/>
  <c r="M18" i="17"/>
  <c r="A17" i="17"/>
  <c r="A18" i="17" s="1"/>
  <c r="A19" i="17" s="1"/>
  <c r="A20" i="17" s="1"/>
  <c r="A21" i="17" s="1"/>
  <c r="A22" i="17" s="1"/>
  <c r="M11" i="17"/>
  <c r="M10" i="17"/>
  <c r="M9" i="17"/>
  <c r="M8" i="17"/>
  <c r="A8" i="17"/>
  <c r="A9" i="17" s="1"/>
  <c r="A10" i="17" s="1"/>
  <c r="A11" i="17" s="1"/>
  <c r="A12" i="17" s="1"/>
  <c r="M7" i="17"/>
  <c r="Q7" i="17" l="1"/>
  <c r="Q11" i="17"/>
  <c r="Q10" i="17"/>
  <c r="Q9" i="17"/>
  <c r="O10" i="17"/>
  <c r="O9" i="17"/>
  <c r="O11" i="17"/>
  <c r="O7" i="17"/>
  <c r="M19" i="17"/>
  <c r="AO56" i="10" l="1"/>
  <c r="AI56" i="10"/>
  <c r="AC56" i="10"/>
  <c r="AC55" i="10"/>
  <c r="G55" i="10"/>
  <c r="G56" i="10"/>
  <c r="AO55" i="10"/>
  <c r="AI55" i="10"/>
  <c r="AO54" i="10"/>
  <c r="F54" i="10"/>
  <c r="AI54" i="10"/>
  <c r="AC54" i="10"/>
  <c r="F55" i="10" l="1"/>
  <c r="F56" i="10"/>
  <c r="G54" i="10"/>
  <c r="G41" i="10" l="1"/>
  <c r="F41" i="10"/>
  <c r="G42" i="10"/>
  <c r="F42" i="10"/>
  <c r="F43" i="10" l="1"/>
  <c r="M43" i="10" s="1"/>
  <c r="J43" i="10" s="1"/>
  <c r="K43" i="10" s="1"/>
  <c r="L43" i="10" s="1"/>
  <c r="G43" i="10"/>
  <c r="M42" i="10"/>
  <c r="J42" i="10" s="1"/>
  <c r="K42" i="10" s="1"/>
  <c r="L42" i="10" s="1"/>
  <c r="M41" i="10"/>
  <c r="J41" i="10" s="1"/>
  <c r="K41" i="10" s="1"/>
  <c r="L41" i="10" s="1"/>
  <c r="M233" i="10" l="1"/>
  <c r="J233" i="10" s="1"/>
  <c r="K233" i="10" s="1"/>
  <c r="L233" i="10" s="1"/>
  <c r="M232" i="10"/>
  <c r="J232" i="10" s="1"/>
  <c r="K232" i="10" s="1"/>
  <c r="L232" i="10" s="1"/>
  <c r="M231" i="10"/>
  <c r="J231" i="10" s="1"/>
  <c r="K231" i="10" s="1"/>
  <c r="L231" i="10" s="1"/>
  <c r="M230" i="10"/>
  <c r="J230" i="10" s="1"/>
  <c r="K230" i="10" s="1"/>
  <c r="L230" i="10" s="1"/>
  <c r="M229" i="10"/>
  <c r="J229" i="10" s="1"/>
  <c r="K229" i="10" s="1"/>
  <c r="L229" i="10" s="1"/>
  <c r="M228" i="10"/>
  <c r="J228" i="10" s="1"/>
  <c r="K228" i="10" s="1"/>
  <c r="L228" i="10" s="1"/>
  <c r="M227" i="10"/>
  <c r="J227" i="10" s="1"/>
  <c r="K227" i="10" s="1"/>
  <c r="L227" i="10" s="1"/>
  <c r="M226" i="10"/>
  <c r="J226" i="10" s="1"/>
  <c r="K226" i="10" s="1"/>
  <c r="L226" i="10" s="1"/>
  <c r="M238" i="10"/>
  <c r="J238" i="10" s="1"/>
  <c r="K238" i="10" s="1"/>
  <c r="L238" i="10" s="1"/>
  <c r="M237" i="10"/>
  <c r="J237" i="10" s="1"/>
  <c r="K237" i="10" s="1"/>
  <c r="L237" i="10" s="1"/>
  <c r="M236" i="10"/>
  <c r="J236" i="10" s="1"/>
  <c r="K236" i="10" s="1"/>
  <c r="L236" i="10" s="1"/>
  <c r="M235" i="10"/>
  <c r="J235" i="10" s="1"/>
  <c r="K235" i="10" s="1"/>
  <c r="L235" i="10" s="1"/>
  <c r="M234" i="10"/>
  <c r="J234" i="10" s="1"/>
  <c r="K234" i="10" s="1"/>
  <c r="L234" i="10" s="1"/>
  <c r="M118" i="10"/>
  <c r="J118" i="10" s="1"/>
  <c r="K118" i="10" s="1"/>
  <c r="L118" i="10" s="1"/>
  <c r="M116" i="10"/>
  <c r="J116" i="10" s="1"/>
  <c r="K116" i="10" s="1"/>
  <c r="L116" i="10" s="1"/>
  <c r="J108" i="10" l="1"/>
  <c r="K108" i="10" s="1"/>
  <c r="L108" i="10" s="1"/>
  <c r="F118" i="10"/>
  <c r="G118" i="10"/>
  <c r="F230" i="10" l="1"/>
  <c r="F229" i="10"/>
  <c r="F235" i="10"/>
  <c r="F234" i="10"/>
  <c r="F232" i="10"/>
  <c r="F231" i="10"/>
  <c r="F236" i="10"/>
  <c r="F228" i="10"/>
  <c r="G233" i="10"/>
  <c r="F237" i="10"/>
  <c r="F238" i="10"/>
  <c r="F227" i="10"/>
  <c r="F226" i="10"/>
  <c r="G238" i="10"/>
  <c r="G227" i="10"/>
  <c r="G228" i="10"/>
  <c r="F233" i="10"/>
  <c r="G229" i="10"/>
  <c r="G226" i="10"/>
  <c r="G236" i="10"/>
  <c r="G237" i="10"/>
  <c r="G235" i="10"/>
  <c r="G231" i="10"/>
  <c r="G232" i="10"/>
  <c r="G230" i="10"/>
  <c r="G234" i="10"/>
  <c r="F239" i="10" l="1"/>
  <c r="G239" i="10"/>
  <c r="AU114" i="10"/>
  <c r="AO84" i="10"/>
  <c r="AO108" i="10" l="1"/>
  <c r="AO110" i="10"/>
  <c r="AO112" i="10"/>
  <c r="AO113" i="10"/>
  <c r="AO114" i="10"/>
  <c r="AO115" i="10"/>
  <c r="AO116" i="10"/>
  <c r="AO117" i="10"/>
  <c r="AO118" i="10"/>
  <c r="AO119" i="10"/>
  <c r="AO120" i="10"/>
  <c r="AO123" i="10"/>
  <c r="AO124" i="10"/>
  <c r="AO125" i="10"/>
  <c r="AO126" i="10"/>
  <c r="AO127" i="10"/>
  <c r="AO128" i="10"/>
  <c r="AO129" i="10"/>
  <c r="AO130" i="10"/>
  <c r="AO131" i="10"/>
  <c r="AO132" i="10"/>
  <c r="AO133" i="10"/>
  <c r="AO134" i="10"/>
  <c r="AO135" i="10"/>
  <c r="AI108" i="10"/>
  <c r="AI112" i="10"/>
  <c r="AI113" i="10"/>
  <c r="AI114" i="10"/>
  <c r="AI115" i="10"/>
  <c r="AI116" i="10"/>
  <c r="AI117" i="10"/>
  <c r="AI118" i="10"/>
  <c r="AI119" i="10"/>
  <c r="AI120" i="10"/>
  <c r="AI121" i="10"/>
  <c r="AI122" i="10"/>
  <c r="AI123" i="10"/>
  <c r="AI124" i="10"/>
  <c r="AI125" i="10"/>
  <c r="AI126" i="10"/>
  <c r="AI127" i="10"/>
  <c r="AI128" i="10"/>
  <c r="AI129" i="10"/>
  <c r="AI130" i="10"/>
  <c r="AI131" i="10"/>
  <c r="AI132" i="10"/>
  <c r="AI133" i="10"/>
  <c r="AI134" i="10"/>
  <c r="AI135" i="10"/>
  <c r="AI136" i="10"/>
  <c r="AI137" i="10"/>
  <c r="AI138" i="10"/>
  <c r="AI139" i="10"/>
  <c r="AI140" i="10"/>
  <c r="AI141" i="10"/>
  <c r="AI142" i="10"/>
  <c r="AI143" i="10"/>
  <c r="AC108" i="10"/>
  <c r="AC110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G123" i="10" l="1"/>
  <c r="F123" i="10"/>
  <c r="F119" i="10"/>
  <c r="G119" i="10"/>
  <c r="F114" i="10"/>
  <c r="G114" i="10"/>
  <c r="G110" i="10"/>
  <c r="F110" i="10"/>
  <c r="F124" i="10"/>
  <c r="G124" i="10"/>
  <c r="F120" i="10"/>
  <c r="G120" i="10"/>
  <c r="G115" i="10"/>
  <c r="F115" i="10"/>
  <c r="G125" i="10"/>
  <c r="F125" i="10"/>
  <c r="G121" i="10"/>
  <c r="F121" i="10"/>
  <c r="F112" i="10"/>
  <c r="G112" i="10"/>
  <c r="F126" i="10"/>
  <c r="G126" i="10"/>
  <c r="F122" i="10"/>
  <c r="G122" i="10"/>
  <c r="G113" i="10"/>
  <c r="F113" i="10"/>
  <c r="F109" i="10"/>
  <c r="G109" i="10"/>
  <c r="G111" i="10"/>
  <c r="F111" i="10"/>
  <c r="G116" i="10"/>
  <c r="F116" i="10"/>
  <c r="G117" i="10"/>
  <c r="F117" i="10"/>
  <c r="AO194" i="10" l="1"/>
  <c r="AI194" i="10"/>
  <c r="AC194" i="10"/>
  <c r="AI212" i="10" l="1"/>
  <c r="AI207" i="10"/>
  <c r="AI208" i="10"/>
  <c r="AI210" i="10"/>
  <c r="AI211" i="10"/>
  <c r="AC206" i="10"/>
  <c r="AC207" i="10"/>
  <c r="AC208" i="10"/>
  <c r="AC210" i="10"/>
  <c r="AC211" i="10"/>
  <c r="AC212" i="10" l="1"/>
  <c r="AO193" i="10"/>
  <c r="AC193" i="10"/>
  <c r="AI193" i="10"/>
  <c r="AU192" i="10"/>
  <c r="AO192" i="10"/>
  <c r="AI192" i="10"/>
  <c r="AC192" i="10"/>
  <c r="AU191" i="10"/>
  <c r="AO191" i="10"/>
  <c r="AI191" i="10"/>
  <c r="AC191" i="10"/>
  <c r="AO190" i="10"/>
  <c r="AI190" i="10"/>
  <c r="AC190" i="10"/>
  <c r="AO178" i="10"/>
  <c r="AU178" i="10"/>
  <c r="AI38" i="10" l="1"/>
  <c r="AI7" i="10" l="1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32" i="10"/>
  <c r="AI36" i="10"/>
  <c r="AI37" i="10"/>
  <c r="AI39" i="10"/>
  <c r="AI40" i="10"/>
  <c r="AI48" i="10"/>
  <c r="AI49" i="10"/>
  <c r="AI50" i="10"/>
  <c r="AI52" i="10"/>
  <c r="AI57" i="10"/>
  <c r="AI58" i="10"/>
  <c r="AI59" i="10"/>
  <c r="AI61" i="10"/>
  <c r="AI67" i="10"/>
  <c r="AI68" i="10"/>
  <c r="AI69" i="10"/>
  <c r="AI70" i="10"/>
  <c r="AI71" i="10"/>
  <c r="AI72" i="10"/>
  <c r="AI73" i="10"/>
  <c r="AI76" i="10"/>
  <c r="AI77" i="10"/>
  <c r="AI79" i="10"/>
  <c r="AI81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I99" i="10"/>
  <c r="AI100" i="10"/>
  <c r="AI101" i="10"/>
  <c r="AI102" i="10"/>
  <c r="AI103" i="10"/>
  <c r="AI104" i="10"/>
  <c r="AI105" i="10"/>
  <c r="AI106" i="10"/>
  <c r="AI107" i="10"/>
  <c r="AI144" i="10"/>
  <c r="AI145" i="10"/>
  <c r="AI146" i="10"/>
  <c r="AI147" i="10"/>
  <c r="AI148" i="10"/>
  <c r="AI149" i="10"/>
  <c r="AI150" i="10"/>
  <c r="AI151" i="10"/>
  <c r="AI152" i="10"/>
  <c r="AI153" i="10"/>
  <c r="AI154" i="10"/>
  <c r="AI155" i="10"/>
  <c r="AI156" i="10"/>
  <c r="AI157" i="10"/>
  <c r="AI158" i="10"/>
  <c r="AI159" i="10"/>
  <c r="AI160" i="10"/>
  <c r="AI161" i="10"/>
  <c r="AI162" i="10"/>
  <c r="AI163" i="10"/>
  <c r="AI164" i="10"/>
  <c r="AI165" i="10"/>
  <c r="AI166" i="10"/>
  <c r="AI168" i="10"/>
  <c r="AI169" i="10"/>
  <c r="AI170" i="10"/>
  <c r="AI171" i="10"/>
  <c r="AI172" i="10"/>
  <c r="AI173" i="10"/>
  <c r="AI174" i="10"/>
  <c r="AI175" i="10"/>
  <c r="AI176" i="10"/>
  <c r="AI177" i="10"/>
  <c r="AI178" i="10"/>
  <c r="AI179" i="10"/>
  <c r="AI180" i="10"/>
  <c r="AI181" i="10"/>
  <c r="AI182" i="10"/>
  <c r="AI183" i="10"/>
  <c r="AI184" i="10"/>
  <c r="AI187" i="10"/>
  <c r="AI188" i="10"/>
  <c r="AI189" i="10"/>
  <c r="AI195" i="10"/>
  <c r="AI196" i="10"/>
  <c r="AI197" i="10"/>
  <c r="AI198" i="10"/>
  <c r="AI199" i="10"/>
  <c r="AI200" i="10"/>
  <c r="AI201" i="10"/>
  <c r="AI202" i="10"/>
  <c r="AI203" i="10"/>
  <c r="AI204" i="10"/>
  <c r="AI205" i="10"/>
  <c r="AI214" i="10"/>
  <c r="AI215" i="10"/>
  <c r="AI216" i="10"/>
  <c r="AI217" i="10"/>
  <c r="AI221" i="10"/>
  <c r="AI223" i="10"/>
  <c r="AO7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32" i="10"/>
  <c r="AO33" i="10"/>
  <c r="AO34" i="10"/>
  <c r="AO35" i="10"/>
  <c r="AO36" i="10"/>
  <c r="AO37" i="10"/>
  <c r="AO38" i="10"/>
  <c r="AO39" i="10"/>
  <c r="AO40" i="10"/>
  <c r="AO46" i="10"/>
  <c r="AO48" i="10"/>
  <c r="AO49" i="10"/>
  <c r="AO50" i="10"/>
  <c r="AO51" i="10"/>
  <c r="AO52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71" i="10"/>
  <c r="AO72" i="10"/>
  <c r="AO73" i="10"/>
  <c r="AO74" i="10"/>
  <c r="AO76" i="10"/>
  <c r="AO77" i="10"/>
  <c r="AO79" i="10"/>
  <c r="AO80" i="10"/>
  <c r="AO81" i="10"/>
  <c r="AO85" i="10"/>
  <c r="AO86" i="10"/>
  <c r="AO87" i="10"/>
  <c r="AO88" i="10"/>
  <c r="AO89" i="10"/>
  <c r="AO90" i="10"/>
  <c r="AO91" i="10"/>
  <c r="AO92" i="10"/>
  <c r="AO93" i="10"/>
  <c r="AO94" i="10"/>
  <c r="AO95" i="10"/>
  <c r="AO96" i="10"/>
  <c r="AO97" i="10"/>
  <c r="AO98" i="10"/>
  <c r="AO99" i="10"/>
  <c r="AO100" i="10"/>
  <c r="AO102" i="10"/>
  <c r="AO103" i="10"/>
  <c r="AO104" i="10"/>
  <c r="AO105" i="10"/>
  <c r="AO106" i="10"/>
  <c r="AO107" i="10"/>
  <c r="AO136" i="10"/>
  <c r="AO137" i="10"/>
  <c r="AO138" i="10"/>
  <c r="AO139" i="10"/>
  <c r="AO140" i="10"/>
  <c r="AO141" i="10"/>
  <c r="AO142" i="10"/>
  <c r="AO143" i="10"/>
  <c r="AO144" i="10"/>
  <c r="AO145" i="10"/>
  <c r="AO146" i="10"/>
  <c r="AO147" i="10"/>
  <c r="AO148" i="10"/>
  <c r="AO149" i="10"/>
  <c r="AO150" i="10"/>
  <c r="AO151" i="10"/>
  <c r="AO152" i="10"/>
  <c r="AO153" i="10"/>
  <c r="AO154" i="10"/>
  <c r="AO155" i="10"/>
  <c r="AO156" i="10"/>
  <c r="AO157" i="10"/>
  <c r="AO158" i="10"/>
  <c r="AO159" i="10"/>
  <c r="AO160" i="10"/>
  <c r="AO161" i="10"/>
  <c r="AO162" i="10"/>
  <c r="AO163" i="10"/>
  <c r="AO164" i="10"/>
  <c r="AO165" i="10"/>
  <c r="AO166" i="10"/>
  <c r="AO168" i="10"/>
  <c r="AO169" i="10"/>
  <c r="AO170" i="10"/>
  <c r="AO171" i="10"/>
  <c r="AO172" i="10"/>
  <c r="AO173" i="10"/>
  <c r="AO174" i="10"/>
  <c r="AO175" i="10"/>
  <c r="AO176" i="10"/>
  <c r="AO177" i="10"/>
  <c r="AO179" i="10"/>
  <c r="AO180" i="10"/>
  <c r="AO181" i="10"/>
  <c r="AO182" i="10"/>
  <c r="AO183" i="10"/>
  <c r="AO184" i="10"/>
  <c r="AO185" i="10"/>
  <c r="AO187" i="10"/>
  <c r="AO188" i="10"/>
  <c r="AO189" i="10"/>
  <c r="AO195" i="10"/>
  <c r="AO196" i="10"/>
  <c r="AO198" i="10"/>
  <c r="AO199" i="10"/>
  <c r="AO200" i="10"/>
  <c r="AO201" i="10"/>
  <c r="AO202" i="10"/>
  <c r="AO206" i="10"/>
  <c r="AO207" i="10"/>
  <c r="AO208" i="10"/>
  <c r="AO210" i="10"/>
  <c r="AO214" i="10"/>
  <c r="AO215" i="10"/>
  <c r="AO216" i="10"/>
  <c r="AO217" i="10"/>
  <c r="AO219" i="10"/>
  <c r="AO221" i="10"/>
  <c r="AO223" i="10"/>
  <c r="AO224" i="10"/>
  <c r="AI5" i="10"/>
  <c r="AC6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32" i="10"/>
  <c r="AC33" i="10"/>
  <c r="AC34" i="10"/>
  <c r="AC35" i="10"/>
  <c r="AC36" i="10"/>
  <c r="AC37" i="10"/>
  <c r="AC38" i="10"/>
  <c r="AC39" i="10"/>
  <c r="AC40" i="10"/>
  <c r="AC46" i="10"/>
  <c r="AC48" i="10"/>
  <c r="AC49" i="10"/>
  <c r="AC50" i="10"/>
  <c r="AC51" i="10"/>
  <c r="AC52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6" i="10"/>
  <c r="AC77" i="10"/>
  <c r="AC79" i="10"/>
  <c r="AC80" i="10"/>
  <c r="AC81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8" i="10"/>
  <c r="AC170" i="10"/>
  <c r="AC171" i="10"/>
  <c r="AC178" i="10"/>
  <c r="AC180" i="10"/>
  <c r="AC181" i="10"/>
  <c r="AC182" i="10"/>
  <c r="AC187" i="10"/>
  <c r="AC188" i="10"/>
  <c r="AC189" i="10"/>
  <c r="AC195" i="10"/>
  <c r="AC196" i="10"/>
  <c r="AC197" i="10"/>
  <c r="AC198" i="10"/>
  <c r="AC199" i="10"/>
  <c r="AC200" i="10"/>
  <c r="AC201" i="10"/>
  <c r="AC202" i="10"/>
  <c r="AC203" i="10"/>
  <c r="AC204" i="10"/>
  <c r="AC205" i="10"/>
  <c r="AC214" i="10"/>
  <c r="AC215" i="10"/>
  <c r="AC216" i="10"/>
  <c r="AC217" i="10"/>
  <c r="AC221" i="10"/>
  <c r="AC223" i="10"/>
  <c r="AC224" i="10"/>
  <c r="AC5" i="10" l="1"/>
  <c r="AC4" i="10"/>
  <c r="G78" i="10" l="1"/>
  <c r="G166" i="10"/>
  <c r="F166" i="10"/>
  <c r="G169" i="10"/>
  <c r="F169" i="10"/>
  <c r="F168" i="10"/>
  <c r="G168" i="10"/>
  <c r="G97" i="10"/>
  <c r="F97" i="10"/>
  <c r="G95" i="10"/>
  <c r="F95" i="10"/>
  <c r="F100" i="10"/>
  <c r="G100" i="10"/>
  <c r="F96" i="10"/>
  <c r="G96" i="10"/>
  <c r="F197" i="10"/>
  <c r="G197" i="10"/>
  <c r="F89" i="10"/>
  <c r="G89" i="10"/>
  <c r="F86" i="10"/>
  <c r="G86" i="10"/>
  <c r="G80" i="10"/>
  <c r="F80" i="10"/>
  <c r="F92" i="10"/>
  <c r="G92" i="10"/>
  <c r="F73" i="10"/>
  <c r="G73" i="10"/>
  <c r="F69" i="10"/>
  <c r="G69" i="10"/>
  <c r="F65" i="10"/>
  <c r="G65" i="10"/>
  <c r="F99" i="10"/>
  <c r="G99" i="10"/>
  <c r="G91" i="10"/>
  <c r="F91" i="10"/>
  <c r="F72" i="10"/>
  <c r="G72" i="10"/>
  <c r="F68" i="10"/>
  <c r="G68" i="10"/>
  <c r="F64" i="10"/>
  <c r="G64" i="10"/>
  <c r="G171" i="10"/>
  <c r="F171" i="10"/>
  <c r="G102" i="10"/>
  <c r="F102" i="10"/>
  <c r="G98" i="10"/>
  <c r="F98" i="10"/>
  <c r="F94" i="10"/>
  <c r="G94" i="10"/>
  <c r="F71" i="10"/>
  <c r="G71" i="10"/>
  <c r="F67" i="10"/>
  <c r="G67" i="10"/>
  <c r="F63" i="10"/>
  <c r="G63" i="10"/>
  <c r="F93" i="10"/>
  <c r="G93" i="10"/>
  <c r="F74" i="10"/>
  <c r="G74" i="10"/>
  <c r="F70" i="10"/>
  <c r="G70" i="10"/>
  <c r="F66" i="10"/>
  <c r="G66" i="10"/>
  <c r="G62" i="10"/>
  <c r="F62" i="10"/>
  <c r="G85" i="10"/>
  <c r="F85" i="10"/>
  <c r="G23" i="10"/>
  <c r="F23" i="10"/>
  <c r="G19" i="10"/>
  <c r="F19" i="10"/>
  <c r="F20" i="10"/>
  <c r="G20" i="10"/>
  <c r="F22" i="10"/>
  <c r="G22" i="10"/>
  <c r="G34" i="10"/>
  <c r="F34" i="10"/>
  <c r="F24" i="10"/>
  <c r="G24" i="10"/>
  <c r="F16" i="10"/>
  <c r="G16" i="10"/>
  <c r="F26" i="10"/>
  <c r="G26" i="10"/>
  <c r="F18" i="10"/>
  <c r="G18" i="10"/>
  <c r="G25" i="10"/>
  <c r="F25" i="10"/>
  <c r="G21" i="10"/>
  <c r="F21" i="10"/>
  <c r="G17" i="10"/>
  <c r="F17" i="10"/>
  <c r="G46" i="10"/>
  <c r="F46" i="10"/>
  <c r="G33" i="10"/>
  <c r="F33" i="10"/>
  <c r="F15" i="10"/>
  <c r="G15" i="10"/>
  <c r="F14" i="10"/>
  <c r="G14" i="10"/>
  <c r="F13" i="10"/>
  <c r="G13" i="10"/>
  <c r="F12" i="10"/>
  <c r="G12" i="10"/>
  <c r="F11" i="10"/>
  <c r="G11" i="10"/>
  <c r="F10" i="10"/>
  <c r="G10" i="10"/>
  <c r="F9" i="10"/>
  <c r="G9" i="10"/>
  <c r="F8" i="10"/>
  <c r="G8" i="10"/>
  <c r="G7" i="10"/>
  <c r="F7" i="10"/>
  <c r="AI51" i="10"/>
  <c r="AC84" i="10"/>
  <c r="G105" i="10"/>
  <c r="F105" i="10"/>
  <c r="G101" i="10"/>
  <c r="F101" i="10"/>
  <c r="G79" i="10"/>
  <c r="F79" i="10"/>
  <c r="F50" i="10"/>
  <c r="G50" i="10"/>
  <c r="F37" i="10"/>
  <c r="G37" i="10"/>
  <c r="G5" i="10"/>
  <c r="F5" i="10"/>
  <c r="G104" i="10"/>
  <c r="F104" i="10"/>
  <c r="G88" i="10"/>
  <c r="F88" i="10"/>
  <c r="G84" i="10"/>
  <c r="F84" i="10"/>
  <c r="F78" i="10"/>
  <c r="G61" i="10"/>
  <c r="F61" i="10"/>
  <c r="F57" i="10"/>
  <c r="G57" i="10"/>
  <c r="F49" i="10"/>
  <c r="G49" i="10"/>
  <c r="F40" i="10"/>
  <c r="G40" i="10"/>
  <c r="G36" i="10"/>
  <c r="F36" i="10"/>
  <c r="G107" i="10"/>
  <c r="F107" i="10"/>
  <c r="G103" i="10"/>
  <c r="F103" i="10"/>
  <c r="G87" i="10"/>
  <c r="F87" i="10"/>
  <c r="F77" i="10"/>
  <c r="F52" i="10"/>
  <c r="G52" i="10"/>
  <c r="F48" i="10"/>
  <c r="G48" i="10"/>
  <c r="F39" i="10"/>
  <c r="G39" i="10"/>
  <c r="G32" i="10"/>
  <c r="F32" i="10"/>
  <c r="G106" i="10"/>
  <c r="F106" i="10"/>
  <c r="F76" i="10"/>
  <c r="G59" i="10"/>
  <c r="F59" i="10"/>
  <c r="F51" i="10"/>
  <c r="G51" i="10"/>
  <c r="F38" i="10"/>
  <c r="G38" i="10"/>
  <c r="E134" i="1"/>
  <c r="J47" i="10" l="1"/>
  <c r="G47" i="10" l="1"/>
  <c r="K47" i="10"/>
  <c r="L47" i="10" s="1"/>
  <c r="F47" i="10"/>
  <c r="F31" i="10"/>
  <c r="G31" i="10"/>
  <c r="Q4" i="10" l="1"/>
  <c r="R4" i="10"/>
  <c r="J4" i="10" s="1"/>
  <c r="K4" i="10" s="1"/>
  <c r="L4" i="10" s="1"/>
  <c r="S4" i="10"/>
  <c r="T4" i="10"/>
  <c r="F4" i="10" l="1"/>
  <c r="G4" i="10"/>
  <c r="F256" i="10" l="1"/>
  <c r="F203" i="10" l="1"/>
  <c r="F194" i="10"/>
  <c r="G108" i="10"/>
  <c r="G204" i="10"/>
  <c r="F251" i="10"/>
  <c r="F213" i="10"/>
  <c r="F183" i="10"/>
  <c r="F209" i="10"/>
  <c r="G183" i="10"/>
  <c r="F189" i="10"/>
  <c r="F261" i="10"/>
  <c r="F108" i="10"/>
  <c r="G223" i="10"/>
  <c r="G241" i="10"/>
  <c r="G218" i="10"/>
  <c r="G205" i="10"/>
  <c r="F222" i="10"/>
  <c r="F204" i="10"/>
  <c r="G189" i="10"/>
  <c r="G261" i="10"/>
  <c r="G214" i="10"/>
  <c r="G251" i="10"/>
  <c r="G213" i="10"/>
  <c r="F223" i="10"/>
  <c r="G256" i="10"/>
  <c r="F205" i="10"/>
  <c r="G203" i="10"/>
  <c r="G260" i="10"/>
  <c r="F241" i="10"/>
  <c r="F218" i="10"/>
  <c r="G222" i="10"/>
  <c r="G215" i="10"/>
  <c r="F215" i="10"/>
  <c r="F260" i="10"/>
  <c r="F214" i="10"/>
  <c r="G194" i="10"/>
  <c r="G219" i="10"/>
  <c r="G210" i="10"/>
  <c r="G209" i="10"/>
  <c r="F219" i="10"/>
  <c r="F210" i="10"/>
  <c r="F178" i="10" l="1"/>
  <c r="G178" i="10"/>
  <c r="E27" i="18" l="1"/>
  <c r="F27" i="18" s="1"/>
  <c r="C6" i="18" l="1"/>
  <c r="E18" i="18"/>
  <c r="F18" i="18" s="1"/>
  <c r="C17" i="18"/>
  <c r="B19" i="18"/>
  <c r="G184" i="10"/>
  <c r="B14" i="18"/>
  <c r="E10" i="18"/>
  <c r="F10" i="18" s="1"/>
  <c r="G198" i="10"/>
  <c r="N20" i="17"/>
  <c r="O20" i="17" s="1"/>
  <c r="M83" i="10"/>
  <c r="J83" i="10" s="1"/>
  <c r="J81" i="10" s="1"/>
  <c r="E8" i="18"/>
  <c r="F8" i="18" s="1"/>
  <c r="G182" i="10"/>
  <c r="F200" i="10"/>
  <c r="M200" i="10" s="1"/>
  <c r="J200" i="10" s="1"/>
  <c r="K200" i="10" s="1"/>
  <c r="L200" i="10" s="1"/>
  <c r="B4" i="18"/>
  <c r="B21" i="18"/>
  <c r="F179" i="10"/>
  <c r="M179" i="10" s="1"/>
  <c r="J179" i="10" s="1"/>
  <c r="K179" i="10" s="1"/>
  <c r="L179" i="10" s="1"/>
  <c r="C4" i="18"/>
  <c r="G177" i="10"/>
  <c r="M90" i="10"/>
  <c r="J90" i="10" s="1"/>
  <c r="K90" i="10" s="1"/>
  <c r="L90" i="10" s="1"/>
  <c r="G220" i="10"/>
  <c r="G174" i="10"/>
  <c r="F196" i="10"/>
  <c r="M196" i="10" s="1"/>
  <c r="J196" i="10" s="1"/>
  <c r="K196" i="10" s="1"/>
  <c r="L196" i="10" s="1"/>
  <c r="B18" i="18"/>
  <c r="N19" i="17"/>
  <c r="O19" i="17" s="1"/>
  <c r="M266" i="10"/>
  <c r="J266" i="10" s="1"/>
  <c r="G266" i="10" s="1"/>
  <c r="F187" i="10"/>
  <c r="M187" i="10" s="1"/>
  <c r="J187" i="10" s="1"/>
  <c r="K187" i="10" s="1"/>
  <c r="L187" i="10" s="1"/>
  <c r="C11" i="18"/>
  <c r="P18" i="17"/>
  <c r="Q18" i="17" s="1"/>
  <c r="F202" i="10"/>
  <c r="M202" i="10" s="1"/>
  <c r="J202" i="10" s="1"/>
  <c r="K202" i="10" s="1"/>
  <c r="L202" i="10" s="1"/>
  <c r="B9" i="18"/>
  <c r="F184" i="10"/>
  <c r="M184" i="10" s="1"/>
  <c r="J184" i="10" s="1"/>
  <c r="K184" i="10" s="1"/>
  <c r="L184" i="10" s="1"/>
  <c r="C10" i="18"/>
  <c r="C18" i="18"/>
  <c r="F220" i="10"/>
  <c r="M220" i="10" s="1"/>
  <c r="J220" i="10" s="1"/>
  <c r="K220" i="10" s="1"/>
  <c r="L220" i="10" s="1"/>
  <c r="N18" i="17"/>
  <c r="O18" i="17" s="1"/>
  <c r="C13" i="18"/>
  <c r="G187" i="10"/>
  <c r="E19" i="18"/>
  <c r="F19" i="18" s="1"/>
  <c r="C20" i="18"/>
  <c r="B11" i="18"/>
  <c r="C7" i="18"/>
  <c r="B13" i="18"/>
  <c r="B12" i="18"/>
  <c r="M167" i="10"/>
  <c r="J167" i="10" s="1"/>
  <c r="G167" i="10" s="1"/>
  <c r="B7" i="18"/>
  <c r="G195" i="10"/>
  <c r="B10" i="18"/>
  <c r="E11" i="18"/>
  <c r="F11" i="18" s="1"/>
  <c r="C15" i="18"/>
  <c r="F174" i="10"/>
  <c r="M174" i="10" s="1"/>
  <c r="J174" i="10" s="1"/>
  <c r="K174" i="10" s="1"/>
  <c r="L174" i="10" s="1"/>
  <c r="C21" i="18"/>
  <c r="C9" i="18"/>
  <c r="G200" i="10"/>
  <c r="F182" i="10"/>
  <c r="M182" i="10" s="1"/>
  <c r="J182" i="10" s="1"/>
  <c r="K182" i="10" s="1"/>
  <c r="L182" i="10" s="1"/>
  <c r="F208" i="10"/>
  <c r="M208" i="10" s="1"/>
  <c r="J208" i="10" s="1"/>
  <c r="K208" i="10" s="1"/>
  <c r="L208" i="10" s="1"/>
  <c r="C19" i="18"/>
  <c r="B20" i="18"/>
  <c r="F198" i="10"/>
  <c r="M198" i="10" s="1"/>
  <c r="J198" i="10" s="1"/>
  <c r="K198" i="10" s="1"/>
  <c r="L198" i="10" s="1"/>
  <c r="E13" i="18"/>
  <c r="F13" i="18" s="1"/>
  <c r="B17" i="18"/>
  <c r="F201" i="10"/>
  <c r="M201" i="10" s="1"/>
  <c r="J201" i="10" s="1"/>
  <c r="K201" i="10" s="1"/>
  <c r="L201" i="10" s="1"/>
  <c r="G196" i="10"/>
  <c r="P19" i="17"/>
  <c r="Q19" i="17" s="1"/>
  <c r="G199" i="10"/>
  <c r="G201" i="10"/>
  <c r="G179" i="10"/>
  <c r="C16" i="18"/>
  <c r="F172" i="10"/>
  <c r="M172" i="10" s="1"/>
  <c r="J172" i="10" s="1"/>
  <c r="K172" i="10" s="1"/>
  <c r="L172" i="10" s="1"/>
  <c r="P20" i="17"/>
  <c r="Q20" i="17" s="1"/>
  <c r="B16" i="18"/>
  <c r="F195" i="10"/>
  <c r="M195" i="10" s="1"/>
  <c r="J195" i="10" s="1"/>
  <c r="K195" i="10" s="1"/>
  <c r="L195" i="10" s="1"/>
  <c r="E17" i="18"/>
  <c r="F17" i="18" s="1"/>
  <c r="C8" i="18"/>
  <c r="E9" i="18"/>
  <c r="F9" i="18" s="1"/>
  <c r="E7" i="18"/>
  <c r="F7" i="18" s="1"/>
  <c r="C12" i="18"/>
  <c r="M251" i="10"/>
  <c r="J251" i="10" s="1"/>
  <c r="K251" i="10" s="1"/>
  <c r="L251" i="10" s="1"/>
  <c r="G172" i="10"/>
  <c r="B8" i="18"/>
  <c r="C14" i="18"/>
  <c r="E14" i="18"/>
  <c r="F14" i="18" s="1"/>
  <c r="F199" i="10"/>
  <c r="M199" i="10" s="1"/>
  <c r="J199" i="10" s="1"/>
  <c r="K199" i="10" s="1"/>
  <c r="L199" i="10" s="1"/>
  <c r="G208" i="10"/>
  <c r="B15" i="18"/>
  <c r="M240" i="10"/>
  <c r="J240" i="10" s="1"/>
  <c r="G240" i="10" s="1"/>
  <c r="E12" i="18"/>
  <c r="F12" i="18" s="1"/>
  <c r="F177" i="10"/>
  <c r="M177" i="10" s="1"/>
  <c r="J177" i="10" s="1"/>
  <c r="K177" i="10" s="1"/>
  <c r="L177" i="10" s="1"/>
  <c r="E21" i="18"/>
  <c r="F21" i="18" s="1"/>
  <c r="E16" i="18"/>
  <c r="F16" i="18" s="1"/>
  <c r="G202" i="10"/>
  <c r="E20" i="18"/>
  <c r="F20" i="18" s="1"/>
  <c r="E15" i="18"/>
  <c r="F15" i="18" s="1"/>
  <c r="F240" i="10" l="1"/>
  <c r="F167" i="10"/>
  <c r="F266" i="10"/>
  <c r="K266" i="10"/>
  <c r="L266" i="10" s="1"/>
  <c r="K167" i="10"/>
  <c r="L167" i="10" s="1"/>
  <c r="K240" i="10"/>
  <c r="L240" i="10" s="1"/>
  <c r="K83" i="10"/>
  <c r="L83" i="10" s="1"/>
  <c r="B6" i="18"/>
  <c r="F81" i="10"/>
  <c r="G81" i="10"/>
  <c r="K81" i="10"/>
  <c r="L81" i="10" s="1"/>
  <c r="E6" i="18" l="1"/>
  <c r="F6" i="18" s="1"/>
  <c r="E4" i="18" l="1"/>
  <c r="F4" i="18" s="1"/>
  <c r="F22" i="18" s="1"/>
  <c r="F24" i="18" s="1"/>
  <c r="N16" i="17"/>
  <c r="O16" i="17" l="1"/>
  <c r="O23" i="17" s="1"/>
  <c r="N17" i="17"/>
  <c r="O17" i="17" s="1"/>
  <c r="F60" i="10" l="1"/>
  <c r="G60" i="10"/>
  <c r="G58" i="10" l="1"/>
  <c r="F58" i="10"/>
  <c r="N22" i="17" l="1"/>
  <c r="O22" i="17" s="1"/>
  <c r="N21" i="17" l="1"/>
  <c r="O21" i="17" s="1"/>
  <c r="P16" i="17"/>
  <c r="P21" i="17"/>
  <c r="Q21" i="17" s="1"/>
  <c r="Q16" i="17" l="1"/>
  <c r="Q23" i="17" s="1"/>
  <c r="P17" i="17"/>
  <c r="Q17" i="17" s="1"/>
  <c r="P22" i="17" l="1"/>
  <c r="Q22" i="17" s="1"/>
  <c r="F265" i="10" l="1"/>
  <c r="M265" i="10" s="1"/>
  <c r="J265" i="10" s="1"/>
  <c r="K265" i="10" s="1"/>
  <c r="L265" i="10" s="1"/>
  <c r="F264" i="10"/>
  <c r="M264" i="10" s="1"/>
  <c r="J264" i="10" s="1"/>
  <c r="K264" i="10" s="1"/>
  <c r="L264" i="10" s="1"/>
  <c r="F259" i="10"/>
  <c r="M259" i="10" s="1"/>
  <c r="J259" i="10" s="1"/>
  <c r="K259" i="10" s="1"/>
  <c r="L259" i="10" s="1"/>
  <c r="G188" i="10"/>
  <c r="G216" i="10"/>
  <c r="G259" i="10"/>
  <c r="F221" i="10"/>
  <c r="G176" i="10"/>
  <c r="F217" i="10"/>
  <c r="M217" i="10" s="1"/>
  <c r="J217" i="10" s="1"/>
  <c r="K217" i="10" s="1"/>
  <c r="L217" i="10" s="1"/>
  <c r="F175" i="10"/>
  <c r="M175" i="10" s="1"/>
  <c r="J175" i="10" s="1"/>
  <c r="K175" i="10" s="1"/>
  <c r="L175" i="10" s="1"/>
  <c r="F173" i="10"/>
  <c r="M173" i="10" s="1"/>
  <c r="J173" i="10" s="1"/>
  <c r="K173" i="10" s="1"/>
  <c r="L173" i="10" s="1"/>
  <c r="F180" i="10"/>
  <c r="G181" i="10"/>
  <c r="G221" i="10"/>
  <c r="G180" i="10"/>
  <c r="G265" i="10"/>
  <c r="F181" i="10"/>
  <c r="G207" i="10"/>
  <c r="G175" i="10"/>
  <c r="F206" i="10"/>
  <c r="F90" i="10"/>
  <c r="G264" i="10"/>
  <c r="F188" i="10"/>
  <c r="M188" i="10" s="1"/>
  <c r="J188" i="10" s="1"/>
  <c r="K188" i="10" s="1"/>
  <c r="L188" i="10" s="1"/>
  <c r="F176" i="10"/>
  <c r="M176" i="10" s="1"/>
  <c r="J176" i="10" s="1"/>
  <c r="K176" i="10" s="1"/>
  <c r="L176" i="10" s="1"/>
  <c r="F267" i="10"/>
  <c r="M267" i="10" s="1"/>
  <c r="J267" i="10" s="1"/>
  <c r="K267" i="10" s="1"/>
  <c r="L267" i="10" s="1"/>
  <c r="F207" i="10"/>
  <c r="M207" i="10" s="1"/>
  <c r="J207" i="10" s="1"/>
  <c r="K207" i="10" s="1"/>
  <c r="L207" i="10" s="1"/>
  <c r="G173" i="10"/>
  <c r="G206" i="10"/>
  <c r="G267" i="10"/>
  <c r="G217" i="10"/>
  <c r="F216" i="10"/>
  <c r="G90" i="10"/>
  <c r="P8" i="17" l="1"/>
  <c r="Q8" i="17" s="1"/>
  <c r="N8" i="17"/>
  <c r="O8" i="17" s="1"/>
  <c r="P12" i="17"/>
  <c r="Q12" i="17" s="1"/>
  <c r="N12" i="17"/>
  <c r="O12" i="17" s="1"/>
  <c r="O13" i="17" l="1"/>
  <c r="O25" i="17" s="1"/>
  <c r="O28" i="17" s="1"/>
  <c r="F165" i="10" s="1"/>
  <c r="M165" i="10" s="1"/>
  <c r="J165" i="10" s="1"/>
  <c r="K165" i="10" s="1"/>
  <c r="L165" i="10" s="1"/>
  <c r="Q13" i="17"/>
  <c r="Q25" i="17" s="1"/>
  <c r="Q28" i="17" s="1"/>
  <c r="G165" i="10" s="1"/>
</calcChain>
</file>

<file path=xl/comments1.xml><?xml version="1.0" encoding="utf-8"?>
<comments xmlns="http://schemas.openxmlformats.org/spreadsheetml/2006/main">
  <authors>
    <author>Joelma Martins Lopes de Araujo</author>
  </authors>
  <commentList>
    <comment ref="AG68" authorId="0" shapeId="0">
      <text>
        <r>
          <rPr>
            <b/>
            <sz val="9"/>
            <color indexed="81"/>
            <rFont val="Segoe UI"/>
            <family val="2"/>
          </rPr>
          <t>Joelma Martins Lopes de Araujo:</t>
        </r>
        <r>
          <rPr>
            <sz val="9"/>
            <color indexed="81"/>
            <rFont val="Segoe UI"/>
            <family val="2"/>
          </rPr>
          <t xml:space="preserve">
caixa com 20 palitos.
Valor unitário de R$ 1,80</t>
        </r>
      </text>
    </comment>
    <comment ref="AG250" authorId="0" shapeId="0">
      <text>
        <r>
          <rPr>
            <b/>
            <sz val="9"/>
            <color indexed="81"/>
            <rFont val="Segoe UI"/>
            <family val="2"/>
          </rPr>
          <t>Joelma Martins Lopes de Araujo:</t>
        </r>
        <r>
          <rPr>
            <sz val="9"/>
            <color indexed="81"/>
            <rFont val="Segoe UI"/>
            <family val="2"/>
          </rPr>
          <t xml:space="preserve">
50 GB</t>
        </r>
      </text>
    </comment>
    <comment ref="AM250" authorId="0" shapeId="0">
      <text>
        <r>
          <rPr>
            <b/>
            <sz val="9"/>
            <color indexed="81"/>
            <rFont val="Segoe UI"/>
            <family val="2"/>
          </rPr>
          <t>Joelma Martins Lopes de Araujo:</t>
        </r>
        <r>
          <rPr>
            <sz val="9"/>
            <color indexed="81"/>
            <rFont val="Segoe UI"/>
            <family val="2"/>
          </rPr>
          <t xml:space="preserve">
43 GB</t>
        </r>
      </text>
    </comment>
  </commentList>
</comments>
</file>

<file path=xl/sharedStrings.xml><?xml version="1.0" encoding="utf-8"?>
<sst xmlns="http://schemas.openxmlformats.org/spreadsheetml/2006/main" count="9119" uniqueCount="2307">
  <si>
    <t>PLANILHA DE COMPOSIÇÕES</t>
  </si>
  <si>
    <t>DESONERADO</t>
  </si>
  <si>
    <t>PROJETO:</t>
  </si>
  <si>
    <t>TABELA COMPESA</t>
  </si>
  <si>
    <t>LOCALIDADE:</t>
  </si>
  <si>
    <t>RECIFE / PE</t>
  </si>
  <si>
    <t>REFERÊNCIA:</t>
  </si>
  <si>
    <t>LS:</t>
  </si>
  <si>
    <t>HORA:</t>
  </si>
  <si>
    <t>DATA BASE:</t>
  </si>
  <si>
    <t>MÊS:</t>
  </si>
  <si>
    <t>COMPOSIÇÃO</t>
  </si>
  <si>
    <t>CÓDIGO</t>
  </si>
  <si>
    <t>FONTE</t>
  </si>
  <si>
    <t>DESCRIÇÃO</t>
  </si>
  <si>
    <t>UND</t>
  </si>
  <si>
    <t>COEF</t>
  </si>
  <si>
    <t>R$ SUBTOTAL</t>
  </si>
  <si>
    <t>R$ TOTAL</t>
  </si>
  <si>
    <t>SONDAGEM MANUAL, A CÉU ABERTO, PARA IDENTIFICAÇÃO DE INTERFERÊNCIAS (GALERIAS, TUBULAÇÕES, ETC.)</t>
  </si>
  <si>
    <t>M</t>
  </si>
  <si>
    <t>H</t>
  </si>
  <si>
    <t>E9125</t>
  </si>
  <si>
    <t>UN</t>
  </si>
  <si>
    <t>990113U</t>
  </si>
  <si>
    <t>MATERIAIS E EQUIPAMENTOS PARA SONDAGEM</t>
  </si>
  <si>
    <t>CHP</t>
  </si>
  <si>
    <t>990214U</t>
  </si>
  <si>
    <t>KM</t>
  </si>
  <si>
    <t>M2</t>
  </si>
  <si>
    <t xml:space="preserve">CHAPA GALVANIZADA N. 16 </t>
  </si>
  <si>
    <t>KG</t>
  </si>
  <si>
    <t>031203U</t>
  </si>
  <si>
    <t>L</t>
  </si>
  <si>
    <t>M3</t>
  </si>
  <si>
    <t>CAVALETE EM POLIETILENO</t>
  </si>
  <si>
    <t>500230U</t>
  </si>
  <si>
    <t>AREIA GROSSA, POSTO OBRA</t>
  </si>
  <si>
    <t>010203U</t>
  </si>
  <si>
    <t>FITA PLASTICA ZEBRADA PARA DEMARCACAO DE AREAS, LARGURA = 7 CM, SEM ADESIVO - ROLO 200M</t>
  </si>
  <si>
    <t>500211U</t>
  </si>
  <si>
    <t>CONE DE SINALIZACAO  EM PVC FLEXIVEL (NBR 15071) H = 70 / 76 CM</t>
  </si>
  <si>
    <t>500234U</t>
  </si>
  <si>
    <t>BALIZADOR MOVEL CONFORME NTC-108</t>
  </si>
  <si>
    <t>500229U</t>
  </si>
  <si>
    <t>CILINDRO CANALIZADOR CONFORME NTC-108</t>
  </si>
  <si>
    <t>500231U</t>
  </si>
  <si>
    <t>SINALIZADOR ELETRONICO</t>
  </si>
  <si>
    <t>500232U</t>
  </si>
  <si>
    <t>990258U</t>
  </si>
  <si>
    <t>ESTAÇÃO TOTAL ELETRÔNICA COM PRECISÃO ANGULAR DE 2", LINEAR DE 2 MM E ALCANCE COM 1 PRISMA DE 3.000 M</t>
  </si>
  <si>
    <t>990216U</t>
  </si>
  <si>
    <t>NIVEL OTICO C/ PRECISAO +/- 0,7MM TIPO WILD NA-2 OU EQUIV</t>
  </si>
  <si>
    <t>990176U</t>
  </si>
  <si>
    <t>990139U</t>
  </si>
  <si>
    <t xml:space="preserve">UN </t>
  </si>
  <si>
    <t>AREIA PARA ATERRO, POSTO OBRA</t>
  </si>
  <si>
    <t>010208U</t>
  </si>
  <si>
    <t>DINAMITE GRANULADA (A GRANEL)</t>
  </si>
  <si>
    <t>300101U</t>
  </si>
  <si>
    <t>ESPOLETA DE RETARDO</t>
  </si>
  <si>
    <t>300104U</t>
  </si>
  <si>
    <t>M3XKM</t>
  </si>
  <si>
    <t>ARGILA OU BARRO PARA ATERRO/REATERRO, POSTO OBRA</t>
  </si>
  <si>
    <t>PO DE PEDRA, POSTO OBRA</t>
  </si>
  <si>
    <t>SOLUCAO LIMPADORA PARA PVC, FRASCO COM 200 CM3</t>
  </si>
  <si>
    <t>330672U</t>
  </si>
  <si>
    <t>AREIA MEDIA, POSTO OBRA</t>
  </si>
  <si>
    <t>010202U</t>
  </si>
  <si>
    <t>PEDRA BRITADA N. 2 (19 A 38 MM), POSTO OBRA</t>
  </si>
  <si>
    <t>010102U</t>
  </si>
  <si>
    <t>PARAFUSO OLHAL GALVANIZADO DE 12 X 200MM</t>
  </si>
  <si>
    <t>270375U</t>
  </si>
  <si>
    <t>ESCAVADEIRA HIDRÁULICA COM MARTELO HIDRÁULICO DE 1.700 KG - 103 KW</t>
  </si>
  <si>
    <t>CAVALO MECÂNICO COM SEMI-REBOQUE DE 6 EIXOS COM CAPACIDADE DE 74 T - 324 KW</t>
  </si>
  <si>
    <t>990250U</t>
  </si>
  <si>
    <t>TXKM</t>
  </si>
  <si>
    <t>990251U</t>
  </si>
  <si>
    <t>T</t>
  </si>
  <si>
    <t>MÊS</t>
  </si>
  <si>
    <t>990253U</t>
  </si>
  <si>
    <t>BANHEIRO QUÍMICO</t>
  </si>
  <si>
    <t>TRATAMENTO DE EFLUENTE EM ETE</t>
  </si>
  <si>
    <t>990254U</t>
  </si>
  <si>
    <t>800116U</t>
  </si>
  <si>
    <t xml:space="preserve">RADIO DE COMUNICACAO </t>
  </si>
  <si>
    <t>TRADO CAVADEIRA DE 12"</t>
  </si>
  <si>
    <t>PEDRA DE MAO OU PEDRA RACHAO PARA ARRIMO/FUNDACAO, POSTO OBRA</t>
  </si>
  <si>
    <t>990170U</t>
  </si>
  <si>
    <t>DIA</t>
  </si>
  <si>
    <t>PEDRA BRITADA N. 3 (38 A 50 MM), POSTO OBRA</t>
  </si>
  <si>
    <t>010106U</t>
  </si>
  <si>
    <t>010103U</t>
  </si>
  <si>
    <t>LAJOTA LISA PARA CALCAMENTO - DN=50X50CM</t>
  </si>
  <si>
    <t>SAIBRO PARA ARGAMASSA, POSTO OBRA</t>
  </si>
  <si>
    <t>PEDRA PORTUGUESA OU PETIT PAVE, PRETA, POSTO OBRA</t>
  </si>
  <si>
    <t>010108U</t>
  </si>
  <si>
    <t>MEIO-FIO OU GUIA GRANITICO OU BASALTICO, POSTO OBRA</t>
  </si>
  <si>
    <t>CAMINHAO BASCULANTE 10M3 / 15 T A DIESEL</t>
  </si>
  <si>
    <t>060507U</t>
  </si>
  <si>
    <t>010206U</t>
  </si>
  <si>
    <t>PEDRA BRITADA N. 4 (50 A 76 MM), POSTO OBRA</t>
  </si>
  <si>
    <t>ASFALTO DILUIDO DE PETROLEO CM-30 (COM ICMS)</t>
  </si>
  <si>
    <t>010115U</t>
  </si>
  <si>
    <t>EMULSAO ASFALTICA CATIONICA RR-1C PARA USO EM PAVIMENTACAO ASFALTICA (COM ICMS)</t>
  </si>
  <si>
    <t>010112U</t>
  </si>
  <si>
    <t>E9672</t>
  </si>
  <si>
    <t>CAMINHAO BASCULANTE TRUCADO 12.000 LITROS (12M3)</t>
  </si>
  <si>
    <t>990185U</t>
  </si>
  <si>
    <t>TANQUE DE ESTOCAGEM DE ASFALTO - CIFALI - 30000L</t>
  </si>
  <si>
    <t>USINA MISTURADORA - PRE-MISTURADO A FRIO 60 T/H</t>
  </si>
  <si>
    <t>EMULSAO ASFALTICA CATIONICA RM-1C PARA USO EM PAVIMENTACAO ASFALTICA (COM ICMS)</t>
  </si>
  <si>
    <t>010104U</t>
  </si>
  <si>
    <t>USINA DE ASFALTO COM PARQUE DE TANCAGEM</t>
  </si>
  <si>
    <t>160107U</t>
  </si>
  <si>
    <t>160108U</t>
  </si>
  <si>
    <t>990121U</t>
  </si>
  <si>
    <t>990219U</t>
  </si>
  <si>
    <t>990220U</t>
  </si>
  <si>
    <t>E9522</t>
  </si>
  <si>
    <t>CALDEIRA DE ASFALTO</t>
  </si>
  <si>
    <t>PEDRA BRITADA N. 0, OU PEDRISCO (4,8 A 9,5 MM), POSTO OBRA</t>
  </si>
  <si>
    <t>160109U</t>
  </si>
  <si>
    <t>990213U</t>
  </si>
  <si>
    <t>990112U</t>
  </si>
  <si>
    <t>010114U</t>
  </si>
  <si>
    <t>990260U</t>
  </si>
  <si>
    <t>USINA DE CONCRETO FIXA CAPACIDADE 90/120 M³, 63HP - CHP DIURNO</t>
  </si>
  <si>
    <t>990156U</t>
  </si>
  <si>
    <t>010205U</t>
  </si>
  <si>
    <t>AREIA FINA, POSTO OBRA</t>
  </si>
  <si>
    <t>990266U</t>
  </si>
  <si>
    <t>IMPERMEABILIZANTE PARA CONCRETO E ARGAMASSA</t>
  </si>
  <si>
    <t>ADESIVO HIDROASFALTO</t>
  </si>
  <si>
    <t>JANELA DE CORRER ALUM. COM 2 FOLHAS DE VIDRO DN=100X100CM</t>
  </si>
  <si>
    <t>BASCULANTE EM ALUM. E VIDRO COM 1 SECAO 100X100CM</t>
  </si>
  <si>
    <t>080105U</t>
  </si>
  <si>
    <t>LAJOTA ANTIDERRAPANTE PARA CALCAMENTO - DN=50X50CM</t>
  </si>
  <si>
    <t>OLEO DE LINHACA</t>
  </si>
  <si>
    <t>LIXA P/ MASSA PAREDE - N° 100</t>
  </si>
  <si>
    <t>110305U</t>
  </si>
  <si>
    <t>TINTA SUPER-CONCRETINA</t>
  </si>
  <si>
    <t>MASSA A OLEO P/ MADEIRA</t>
  </si>
  <si>
    <t>LIXA P/ MADEIRA - N° 100</t>
  </si>
  <si>
    <t>LIXA DE FERRO FOLHA - N° 40</t>
  </si>
  <si>
    <t>MASSA CORRIDA PVA PARA PAREDES INTERNAS</t>
  </si>
  <si>
    <t>MASSA ACRILICA PARA PAREDES INTERIOR/EXTERIOR</t>
  </si>
  <si>
    <t>060508U</t>
  </si>
  <si>
    <t xml:space="preserve">IMPERMEABILIZANTE A BASE DE CIMENTO CRISTALIZANTE EM PO, BICOMPONENTE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</si>
  <si>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M2XMES</t>
  </si>
  <si>
    <t>201101U</t>
  </si>
  <si>
    <t>201104U</t>
  </si>
  <si>
    <t>200602U</t>
  </si>
  <si>
    <t>201112U</t>
  </si>
  <si>
    <t>PASTA LUBRIFICANTE PARA TUBO DE FERRO (900 GR)</t>
  </si>
  <si>
    <t>280703U</t>
  </si>
  <si>
    <t>ELETRODO CELULÓSICO PARA AÇO DE BAIXO E MÉDIO TEOR DE CARBONO (COMPRIMENTO DE 350MM/DIÂMETRO DE 4,00MM</t>
  </si>
  <si>
    <t>990249U</t>
  </si>
  <si>
    <t>270396U</t>
  </si>
  <si>
    <t>ADUBO ORGANICO CURTIDO (ESTERCO DE GADO)</t>
  </si>
  <si>
    <t>FORMICIDA, INSETICIDA, ADUBO FOLIAR E DEMAIS INSUMOS</t>
  </si>
  <si>
    <t>SACO PLASTICO PARA MUDAS 10 X 20 CM</t>
  </si>
  <si>
    <t>FORMICIDA E DEMAIS INSUMOS</t>
  </si>
  <si>
    <t>GEL HIDRORETENTOR PARA PLANTIO (HIDROGEL)</t>
  </si>
  <si>
    <t>800109U</t>
  </si>
  <si>
    <t>260201U</t>
  </si>
  <si>
    <t>260209U</t>
  </si>
  <si>
    <t>260210U</t>
  </si>
  <si>
    <t>260212U</t>
  </si>
  <si>
    <t>260214U</t>
  </si>
  <si>
    <t>MAQUINA DE SOLDA POR ELETROFUSAO, POTENCIA 3.500 W, TENSAO PRIMARIO 230 V / 60 HZ DIMENSOES 285 X 200 X 360 MM - SEM OPERADOR</t>
  </si>
  <si>
    <t>MAQUINA PARA SOLDAGEM DE TUBOS PLASTICOS POR TERMOFUSAO DE 90 A 315 MM DE DIÂMETRO - SEM OPERADOR</t>
  </si>
  <si>
    <t>ALINHADOR/RASPADOR ROTATIVO DE TUBOS DE PEAD, DIAMETRO 90 A 400 MM - SEM OPERADOR</t>
  </si>
  <si>
    <t>CAMINHÃO TOCO, PBT 14.300 KG, CARGA ÚTIL MÁX. 9.710 KG, DIST. ENTRE EIXOS 3,56 M, POTÊNCIA 185 CV, INCLUSIVE CARROCERIA FIXA ABERTA DE MADEIRA P/ TRANSPORTE GERAL DE CARGA SECA, DIMEN. APROX. 2,50 X 6,50 X 0,50M - CHP DIURNO</t>
  </si>
  <si>
    <t>TERMOMETRO A LASER</t>
  </si>
  <si>
    <t>MAQUINA PARA SOLDAGEM DE TUBOS PLASTICOS POR TERMOFUSAO DE 315 A 630 MM DE DIAMETRO - SEM OPERADOR</t>
  </si>
  <si>
    <t>ALINHADOR/RASPADOR ROTATIVO DE TUBOS DE PEAD, DIAMETRO 800 A 1200 MM - SEM OPERADOR</t>
  </si>
  <si>
    <t>990231U</t>
  </si>
  <si>
    <t>CAMINHAO TANQUE MERCEDES BENZ L1620/51 - 8.000 L</t>
  </si>
  <si>
    <t>990235U</t>
  </si>
  <si>
    <t>PERFURATRIZ HORIZONTAL DIRECIONAL ATE 400MM, 75HP. EXCLUSO OPERADOR</t>
  </si>
  <si>
    <t>990225U</t>
  </si>
  <si>
    <t>990181U</t>
  </si>
  <si>
    <t>990239U</t>
  </si>
  <si>
    <t>BETONITA</t>
  </si>
  <si>
    <t>CELUTROL</t>
  </si>
  <si>
    <t>990233U</t>
  </si>
  <si>
    <t>TUBO PEAD PE100 - DE 250 MM - SDR 17 - PN 10 - FABRICADO CONFORME NORMA NBR 15.561 OU ISO 4427</t>
  </si>
  <si>
    <t>990234U</t>
  </si>
  <si>
    <t>990224U</t>
  </si>
  <si>
    <t>TUBO PEAD PE100 - DE 355 MM - SDR 17 - PN 10 - FABRICADO CONFORME NORMA NBR 15.561 OU ISO 4427 - APLICAÇÃO: ESGOTO SANITÁRIO - COR: PRETA</t>
  </si>
  <si>
    <t>990228U</t>
  </si>
  <si>
    <t>PERFURATRIZ HORIZONTAL DIRECIONAL ATE 1200MM, 140HP. EXCLUSO OPERADOR</t>
  </si>
  <si>
    <t>990237U</t>
  </si>
  <si>
    <t>TUBO PEAD PE100 - DE 450 MM - SDR 17 - PN 10 - FABRICADO CONFORME NORMA NBR 15.561 OU ISO 4427</t>
  </si>
  <si>
    <t>010122U</t>
  </si>
  <si>
    <t>010123U</t>
  </si>
  <si>
    <t>500123U</t>
  </si>
  <si>
    <t>500125U</t>
  </si>
  <si>
    <t>990236U</t>
  </si>
  <si>
    <t>500127U</t>
  </si>
  <si>
    <t>TUBO CAMISA ACO CHAPA ASTM A36 1/4" DN 200mm</t>
  </si>
  <si>
    <t>TUBO CAMISA ACO CHAPA ASTM A36 1/4" DN 250mm</t>
  </si>
  <si>
    <t>TUBO CAMISA ACO CHAPA ASTM A36 1/4" DN 300mm</t>
  </si>
  <si>
    <t>TUBO CAMISA ACO CHAPA ASTM A36 1/4" DN 400mm</t>
  </si>
  <si>
    <t>TUBO CAMISA ACO CHAPA ASTM A36 1/4" DN 500mm</t>
  </si>
  <si>
    <t>TUBO CAMISA ACO CHAPA ASTM A36 1/4" DN 600mm</t>
  </si>
  <si>
    <t>TUBO CAMISA ACO CHAPA ASTM A36 5/16" DN 700mm</t>
  </si>
  <si>
    <t>TUBO CAMISA ACO CHAPA ASTM A36 5/16" DN 800mm</t>
  </si>
  <si>
    <t>TUBO CAMISA ACO CHAPA ASTM A36 5/16" DN 900mm</t>
  </si>
  <si>
    <t>TUBO CAMISA ACO CHAPA ASTM A36 5/16" DN 1000mm</t>
  </si>
  <si>
    <t>TUBO CAMISA ACO CHAPA ASTM A36 5/16" DN 1100mm</t>
  </si>
  <si>
    <t>TUBO CAMISA ACO CHAPA ASTM A36 5/16" DN 1200mm</t>
  </si>
  <si>
    <t>TUBO CAMISA ACO CHAPA ASTM A36 5/16" DN 1300mm</t>
  </si>
  <si>
    <t>TUBO CAMISA ACO CHAPA ASTM A36 5/16" DN 1400mm</t>
  </si>
  <si>
    <t>TUBO CAMISA ACO CHAPA ASTM A36 5/16" DN 1500mm</t>
  </si>
  <si>
    <t>TUBO CAMISA ACO CHAPA ASTM A36 5/16" DN 1600mm</t>
  </si>
  <si>
    <t>030405U</t>
  </si>
  <si>
    <t>TUBO CAMISA ACO CHAPA ASTM A36 5/16" DN 1700mm</t>
  </si>
  <si>
    <t>030406U</t>
  </si>
  <si>
    <t>TUBO CAMISA ACO CHAPA ASTM A36 5/16" DN 1800mm</t>
  </si>
  <si>
    <t>030407U</t>
  </si>
  <si>
    <t>TUBO CAMISA ACO CHAPA ASTM A36 5/16" DN 1900mm</t>
  </si>
  <si>
    <t>030408U</t>
  </si>
  <si>
    <t>TUBO CAMISA ACO CHAPA ASTM A36 5/16" DN 2000mm</t>
  </si>
  <si>
    <t>030409U</t>
  </si>
  <si>
    <t>030410U</t>
  </si>
  <si>
    <t>030411U</t>
  </si>
  <si>
    <t>030412U</t>
  </si>
  <si>
    <t>030413U</t>
  </si>
  <si>
    <t>030414U</t>
  </si>
  <si>
    <t>030415U</t>
  </si>
  <si>
    <t>030416U</t>
  </si>
  <si>
    <t>030417U</t>
  </si>
  <si>
    <t>030418U</t>
  </si>
  <si>
    <t>030419U</t>
  </si>
  <si>
    <t>030420U</t>
  </si>
  <si>
    <t>030421U</t>
  </si>
  <si>
    <t>030422U</t>
  </si>
  <si>
    <t>030423U</t>
  </si>
  <si>
    <t>030424U</t>
  </si>
  <si>
    <t>CLORO LÍQUIDO</t>
  </si>
  <si>
    <t>DESKTOP + MONITOR LED</t>
  </si>
  <si>
    <t>RECEPTOR GEODESICO</t>
  </si>
  <si>
    <t>CHUVEIRO DE METAL - DN=1/2 POL</t>
  </si>
  <si>
    <t>TORNEIRA PVC PARA JARDIM - DN=1/2 POL</t>
  </si>
  <si>
    <t>JOGO METAIS PARA MICTORIO</t>
  </si>
  <si>
    <t>080114U</t>
  </si>
  <si>
    <t>990402U</t>
  </si>
  <si>
    <t>400101U</t>
  </si>
  <si>
    <t>280119U</t>
  </si>
  <si>
    <t>CONJUNTO DE ESTAIAMENTO PARA PARA-RAIOS - DN=1 1/2 POL</t>
  </si>
  <si>
    <t>BRACADEIRA PARA FIXACAO DE APARELHO SINALIZADOR</t>
  </si>
  <si>
    <t>PLACA PARA MURO PRE-MOLDADA COM ENCAIXE MOURAO - DN=200X50X3,5CM</t>
  </si>
  <si>
    <t>171801U</t>
  </si>
  <si>
    <t>LACRE ANTI-FRAUDE PARA TUBETES DN=3/4 POL</t>
  </si>
  <si>
    <t xml:space="preserve">CAIXA POLIP/POLICARB PARA INST. DE HIDROM. NO MURO CONFORME PADRÃO </t>
  </si>
  <si>
    <t>KIT CONEXAO PVC PARA INSTALACAO DE HIDROMETRO EM CX DE PAREDE; CONTENDO 1 NIPLE ROSCAVEL 3/4POL;1 REGISTRO ESFERA 3/4POL;1 TUBETE CURTO 3/4POL;1TUBETE LONGO 3/4POL; 2 ANILHAS E 2 JOELHOS 25 X 3/4POL</t>
  </si>
  <si>
    <t>CAIXA POLIP/POLICARB P/ INST. DE HIDROM. NO CALCADA CONFORME PADRÃO</t>
  </si>
  <si>
    <t>KIT CONEXAO PVC BRANCO PARA INSTALACAO DE HIDROMETRO EM CX DE CALCADA;CONTENDO 1 REGISTRO ESFERA 3/4POL;1 TUBETE LONGO 3/4POL;1 NIPLE ESPECIAL SEXTAVADO 3/4POL;3 CONTRAPORCA SEXTAVADA 3/4POL;2 ANILHAS</t>
  </si>
  <si>
    <t>KIT CONEXAO PVC AZUL PARA INSTALACAO DE HIDROMETRO EM CX CONCRETO;CONTENDO 1 NIPLE E 1REGISTRO ESFERA DE 3/4POL;2 TUBETE LONGO 3/4POL;2 ANILHAS;2 JOELHO AZUL 25X3/4POL;1 JOELHO 25X3/4POL,1 JOELHO 25mm</t>
  </si>
  <si>
    <t>500107U</t>
  </si>
  <si>
    <t>VEICULO DE PASSEIO COM COMBUSTIVEL, MANUTENÇÃO E SEGURO</t>
  </si>
  <si>
    <t>500160U</t>
  </si>
  <si>
    <t>500158U</t>
  </si>
  <si>
    <t>MOTO COM COMBUSTIVEL, BAÚ, PROTETOR DE MOTOR E ANTENA</t>
  </si>
  <si>
    <t>500159U</t>
  </si>
  <si>
    <t>SMARTPHONE DUAL CHIP, ANDROID 5.0, 4G, MEMORIA INTERNA 8G</t>
  </si>
  <si>
    <t>TUBETE CEGO VERMELHO</t>
  </si>
  <si>
    <t>ANILHA DE TUBETE PARA HIDROMETRO DN 3/4 POL</t>
  </si>
  <si>
    <t>DISPOSITIVO DE SUPRESSAO OB BALA 18MM</t>
  </si>
  <si>
    <t>APLICADOR FLEXIVEL (1,70M) - CHIBAGUA</t>
  </si>
  <si>
    <t>MANUTENÇÃO DE CADASTRO</t>
  </si>
  <si>
    <t>MANUTENCAO DE CADASTRO</t>
  </si>
  <si>
    <t>MOBILIZACAO, DESMOBILIZACAO E TRANSPORTE DOS EQUIPAMENTOS DE PERFURACAO E ACESSORIOS (INCLUSIVE COMPRESSOR) PARA POCOS TUBULARES COM REVESTIMENTO EM ACO NA RMR</t>
  </si>
  <si>
    <t>PERFURACAO EM ROCHA SEDIMENTAR NOS DIAMETROS DE 26" PARA POCOS TUBULARES COM REVESTIMENTO EM ACO NA RMR</t>
  </si>
  <si>
    <t>PERFURACAO EM ROCHA SEDIMENTAR NOS DIAMETROS DE 17 1/2" PARA POCOS TUBULARES COM REVESTIMENTO EM ACO NA RMR</t>
  </si>
  <si>
    <t>PERFURACAO EM ROCHA SEDIMENTAR NOS DIAMETROS DE 15" PARA POCOS TUBULARES COM REVESTIMENTO EM ACO NA RMR</t>
  </si>
  <si>
    <t>FORNECIMENTO E MONTAGEM-INSTALACAO DE TUBULAO DE ACO 20 X 3/16" ID PARA POCOS TUBULARES COM REVESTIMENTO EM ACO NA RMR</t>
  </si>
  <si>
    <t>FORNECIMENTO E INSTALACAO DE TUBOS DE ACO SCHEDULE 40 DIAMENTRO 10" PARA POCOS TUBULARES COM REVESTIMENTO EM ACO NA RMR</t>
  </si>
  <si>
    <t>FORNECIMENTO E MONTAGEM DE TUBOS DE ACO GALVANIZADO SHEDULE 40, PONTA LISA, SEM COSTURA, DIAMETRO DE 6" PARA POCOS TUBULARES COM REVESTIMENTO EM ACO NA RMR</t>
  </si>
  <si>
    <t>FORNECIMENTO E INSTALACAO DE FILTROS DE ACO INOX 304, ABERTURA 0,75 MM, DIAMENTRO DE 6" COM PONTEIRA EM ACO SHEDULE 40 PARA POCOS TUBULARES COM REVESTIMENTO EM ACO NA RMR</t>
  </si>
  <si>
    <t>FORNECIMENTO E MONTAGEM DE VALVULA DE PE DE POCO EM ACO GALVANIZADO, SHEDULE 40 PARA POCOS TUBULARES COM REVESTIMENTO EM ACO NA RMR</t>
  </si>
  <si>
    <t>PC</t>
  </si>
  <si>
    <t>FORNECIMENTO E INSTALACAO DE CENTRALIZADORES DE 15" X 6" PARA POCOS TUBULARES COM REVESTIMENTO EM ACO NA RMR</t>
  </si>
  <si>
    <t>FORNECIMENTO E APLICACAO DE PRE-FILTRO SELECIONADO, GRANULOMETRIA DE 1 A 3 MM PARA POCOS TUBULARES COM REVESTIMENTO EM ACO NA RMR</t>
  </si>
  <si>
    <t>FORNECIMENTO E APLICACAO DE CIMENTO PARA CIMENTACAO DO ANTE POCO E CAMARA DE BOMBEAMENTO PARA POCOS TUBULARES COM REVESTIMENTO EM ACO NA RMR</t>
  </si>
  <si>
    <t>SC</t>
  </si>
  <si>
    <t>LIMPEZA E DESENVOLVIMENTO COM COMPRESSOR DE AR PARA POCOS TUBULARES COM REVESTIMENTO EM ACO NA RMR</t>
  </si>
  <si>
    <t>TESTE DE BOMBEAMENTO COM BOMBA SUBMERSIVEL PARA POCOS TUBULARES COM REVESTIMENTO EM ACO NA RMR</t>
  </si>
  <si>
    <t>PERFILAGEM GEOFISICA E EMISSAO DE RELATORIO TECNICO PARA POCOS TUBULARES COM REVESTIMENTO EM ACO NA RMR</t>
  </si>
  <si>
    <t>DESINFECCAO COM HIPOCLORITO DE CALCIO PARA POCOS TUBULARES COM REVESTIMENTO EM ACO NA RMR</t>
  </si>
  <si>
    <t>BASE DE PROTECAO DE CIMENTO (1M X 1M X 1M) E COLOCACAO DE FLANGE NO TUBO DE 12", COM 08 FUROS DE 3/4", PARAFUSOS COM PORCA, COM CHAPA DE FERRO NA BITOLA DE 3/4" PARA CONFECCAO DO FLANGE PARA POCOS TUBULARES COM REVESTIMENTO EM ACO NA RMR</t>
  </si>
  <si>
    <t>MOBILIZACAO, DESMOBILIZACAO E TRANSPORTE DOS EQUIPAMENTOS DE PERFURACAO E ACESSORIOS (INCLUSIVE COMPRESSOR) PARA POCOS TUBULARES COM REVESTIMENTO EM PVC DENTRO DA MESORREGIAO SERTAO - INTERIOR DO ESTADO</t>
  </si>
  <si>
    <t>PERFURACAO EM ROCHA SEDIMENTAR NOS DIAMETROS DE 26" PARA POCOS TUBULARES COM REVESTIMENTO EM PVC NO INTERIOR DO ESTADO E NA RMR</t>
  </si>
  <si>
    <t>PERFURACAO EM ROCHA SEDIMENTAR NOS DIAMETROS DE 14 3/4" PARA POCOS TUBULARES COM REVESTIMENTO EM PVC NO INTERIOR DO ESTADO E NA RMR</t>
  </si>
  <si>
    <t>FORNECIMENTO E MONTAGEM-INSTALACAO DE TUBULAO DE ACO 20 X 3/16" ID PARA POCOS TUBULARES COM REVESTIMENTO EM PVC NO INTERIOR DO ESTADO E NA RMR</t>
  </si>
  <si>
    <t>FORNECIMENTO E INSTALACAO DE TUBOS DE PVC GEOMECANICO 8" ID PARA POCOS TUBULARES COM REVESTIMENTO EM PVC NO INTERIOR DO ESTADO E NA RMR</t>
  </si>
  <si>
    <t>FORNECIMENTO E INSTALACAO DE FILTROS EM PVC GEOMECANICO (OU SIMILAR), REFORCADO, NO DIAMENTRO DE 8" PARA POCOS TUBULARES COM REVESTIMENTO EM PVC NO INTERIOR DO ESTADO E NA RMR</t>
  </si>
  <si>
    <t>FORNECIMENTO E INSTALACAO DE CAP FEMEA PVC GEOMECANICO (OU SIMILAR), REFORCADO, NO DIAMETRO DE 8" PARA POCOS TUBULARES COM REVESTIMENTO EM PVC NO INTERIOR DO ESTADO E NA RMR</t>
  </si>
  <si>
    <t>FORNECIMENTO E INSTALACAO DE CAP MACHO PVC GEOMECANICO (OU SIMILAR), REFORCADO, NO DIAMETRO DE 8" PARA POCOS TUBULARES COM REVESTIMENTO EM PVC NO INTERIOR DO ESTADO E NA RMR</t>
  </si>
  <si>
    <t>FORNECIMENTO E INSTALACAO DE CENTRALIZADORES DE 15" X 8" PARA POCOS TUBULARES COM REVESTIMENTO EM PVC NO INTERIOR DO ESTADO E NA RMR</t>
  </si>
  <si>
    <t>FORNECIMENTO E APLICACAO DE PRE-FILTRO SELECIONADO, GRANULOMETRIA DE 1 A 3 MM PARA POCOS TUBULARES COM REVESTIMENTO EM PVC NO INTERIOR DO ESTADO E NA RMR</t>
  </si>
  <si>
    <t>FORNECIMENTO E APLICACAO DE CIMENTO PARA CIMENTACAO DO ANTE POCO E CAMARA DE BOMBEAMENTO PARA POCOS TUBULARES COM REVESTIMENTO EM PVC NO INTERIOR DO ESTADO E NA RMR</t>
  </si>
  <si>
    <t>LIMPEZA E DESENVOLVIMENTO COM COMPRESSOR DE AR PARA POCOS TUBULARES COM REVESTIMENTO EM PVC NO INTERIOR DO ESTADO E NA RMR</t>
  </si>
  <si>
    <t>500117U</t>
  </si>
  <si>
    <t>TESTE DE BOMBEAMENTO COM BOMBA SUBMERSIVEL PARA POCOS TUBULARES COM REVESTIMENTO EM PVC NO INTERIOR DO ESTADO E NA RMR</t>
  </si>
  <si>
    <t>PERFILAGEM GEOFISICA E EMISSAO DE RELATORIO TECNICO PARA POCOS TUBULARES COM REVESTIMENTO EM PVC NO INTERIOR DO ESTADO E NA RMR</t>
  </si>
  <si>
    <t>DESINFECCAO COM HIPOCLORITO DE CALCIO PARA POCOS TUBULARES COM REVESTIMENTO EM PVC NO INTERIOR DO ESTADO E NA RMR</t>
  </si>
  <si>
    <t>BASE DE PROTECAO DE CIMENTO (1M X 1M X 1M) E COLOCACAO DE FLANGE NO TUBO DE 12", COM 08 FUROS DE 3/4", PARAFUSOS COM PORCA, COM CHAPA DE FERRO NA BITOLA 3/4" PARA CONFECCAO DO FLANGE PARA POCOS TUBULARES COM REVESTIMENTO EM PVC NO INTERIOR DO ESTADO E NA RMR</t>
  </si>
  <si>
    <t>ANALISE FISICO-QUIMICA E BACTERIOLOGICA COMPLETA DE AGUA BRUTA PARA LICENCIAMENTO AMBIENTAL DE POCO TUBULAR PROFUNDO COM REVESTIMENTO EM PVC NO INTERIOR DO ESTADO E NA RMR</t>
  </si>
  <si>
    <t>500118U</t>
  </si>
  <si>
    <t>990222U</t>
  </si>
  <si>
    <t>990223U</t>
  </si>
  <si>
    <t>500204U</t>
  </si>
  <si>
    <t>500104U</t>
  </si>
  <si>
    <t>500201U</t>
  </si>
  <si>
    <t>500203U</t>
  </si>
  <si>
    <t>500216U</t>
  </si>
  <si>
    <t>800104U</t>
  </si>
  <si>
    <t>700101U</t>
  </si>
  <si>
    <t>700102U</t>
  </si>
  <si>
    <t>700103U</t>
  </si>
  <si>
    <t>700104U</t>
  </si>
  <si>
    <t>700105U</t>
  </si>
  <si>
    <t>700106U</t>
  </si>
  <si>
    <t>700107U</t>
  </si>
  <si>
    <t>700108U</t>
  </si>
  <si>
    <t>700109U</t>
  </si>
  <si>
    <t>700110U</t>
  </si>
  <si>
    <t>700111U</t>
  </si>
  <si>
    <t>700112U</t>
  </si>
  <si>
    <t>700113U</t>
  </si>
  <si>
    <t>700114U</t>
  </si>
  <si>
    <t>700115U</t>
  </si>
  <si>
    <t>700116U</t>
  </si>
  <si>
    <t>700117U</t>
  </si>
  <si>
    <t>700119U</t>
  </si>
  <si>
    <t>700120U</t>
  </si>
  <si>
    <t>700121U</t>
  </si>
  <si>
    <t>700122U</t>
  </si>
  <si>
    <t>700123U</t>
  </si>
  <si>
    <t>700124U</t>
  </si>
  <si>
    <t>700125U</t>
  </si>
  <si>
    <t>700126U</t>
  </si>
  <si>
    <t>700127U</t>
  </si>
  <si>
    <t>700128U</t>
  </si>
  <si>
    <t>700129U</t>
  </si>
  <si>
    <t>700130U</t>
  </si>
  <si>
    <t>700131U</t>
  </si>
  <si>
    <t>700132U</t>
  </si>
  <si>
    <t>700133U</t>
  </si>
  <si>
    <t>700134U</t>
  </si>
  <si>
    <t>700135U</t>
  </si>
  <si>
    <t>LUMINARIA PUBLICA PETALA 50W LED COB PARA POSTE BRANCO FRIO</t>
  </si>
  <si>
    <t>LUMINARIA PUBLICA PETALA 100W LED COB PARA POSTE BRANCO FRIO</t>
  </si>
  <si>
    <t>LUMINARIA PUBLICA PETALA 150W LED COB PARA POSTE BRANCO FRIO</t>
  </si>
  <si>
    <t>270311U</t>
  </si>
  <si>
    <t>270312U</t>
  </si>
  <si>
    <t>CARTUCHO DE SOLDA EXOTÉRMICA N.º 90</t>
  </si>
  <si>
    <t>IGNEX - PALITO IGNITOR PARA SOLDA EXOTÉRMICA</t>
  </si>
  <si>
    <t>MOLDE P/ SOLDA TIPO "GT" ATÉ 120mm²</t>
  </si>
  <si>
    <t>MOLDE P/ SOLDA TIPO "GX" ATÉ 120mm²</t>
  </si>
  <si>
    <t>270313U</t>
  </si>
  <si>
    <t>MOLDE P/ SOLDA TIPO "GY" ATÉ 120mm²</t>
  </si>
  <si>
    <t>MOLDE P/ SOLDA TIPO "ND" ATÉ 120mm²</t>
  </si>
  <si>
    <t>MOLDE P/ SOLDA TIPO "NT" ATÉ 120mm²</t>
  </si>
  <si>
    <t>MÁQUINA JATO DE PRESSAO PORTÁTIL PARA JATEAMENTO, CONTROLE AUTOMATICO REMOTO, CAMARA DE 1 SAIDA, CAPACIDADE 280 L, DIAMETRO 670 MM, BICO DE JATO CURTO VENTURI DE 5/16, MANGUEIRA DE 1 COM COMPRESSOR DE AR REBOCÁVEL VAZÃO 189 PCM E MOTOR DIESEL DE 63 CV- CHP DIURNO.</t>
  </si>
  <si>
    <t>EQUIPAMENTOS DE PROTEÇÃO COLETIVA E DE RESGATE PARA TRABALHOS EM ALTURA E EM ESPAÇOS CONFINADOS</t>
  </si>
  <si>
    <t>270389U</t>
  </si>
  <si>
    <t>270390U</t>
  </si>
  <si>
    <t>270392U</t>
  </si>
  <si>
    <t>270391U</t>
  </si>
  <si>
    <t>270393U</t>
  </si>
  <si>
    <t>270394U</t>
  </si>
  <si>
    <t>ESCADA DE FIBRA DE VIDRO EM RESINA OFFSHORE INCLUSIVE GAIOLA DE PROTEÇÃO</t>
  </si>
  <si>
    <t>270395U</t>
  </si>
  <si>
    <t>GUARDA CORPO EM FIBRA DE VIDRO RESINA OFF-SHORE ALTURA 1,10M</t>
  </si>
  <si>
    <t>TABLET</t>
  </si>
  <si>
    <t>CARREGADOR MÓVEL</t>
  </si>
  <si>
    <t>TESTE CLORO TIPO FITA</t>
  </si>
  <si>
    <t>TAMPA DE INSPEÇÃO EM FIBRA DE VIDRO, INCLUSIVE CANTONEIRAS E CHUMBADORES</t>
  </si>
  <si>
    <t>990257U</t>
  </si>
  <si>
    <t>LUMINARIA PUBLICA PETALA 200W LED COB PARA POSTE BRANCO FRIO</t>
  </si>
  <si>
    <t>500235U</t>
  </si>
  <si>
    <t>800114U</t>
  </si>
  <si>
    <t>800115U</t>
  </si>
  <si>
    <t>990255U</t>
  </si>
  <si>
    <t>990256U</t>
  </si>
  <si>
    <t>800117U</t>
  </si>
  <si>
    <t>031240U</t>
  </si>
  <si>
    <t>BARRA DE FERRO REDONDA - DIÂMETRO 8 MM</t>
  </si>
  <si>
    <t>990403U</t>
  </si>
  <si>
    <t>270314U</t>
  </si>
  <si>
    <t>990169U</t>
  </si>
  <si>
    <t>FORNECIMENTO E INSTALAÇÃO  DE  CENTRALIZADORES DE 17 1/2" X 8" PARA POÇOS TUBULARES COM REVESTIMENTO EM AÇO NA RMR</t>
  </si>
  <si>
    <t>700136U</t>
  </si>
  <si>
    <t>FORNECIMENTO E INSTALACAO DE FILTROS DE ACO INOX 304, ABERTURA 0,75 MM, DIAMETRO DE 8" COM PONTEIRA EM ACO SCHEDULE 40 PARA POCOS TUBULARES COM REVESTIMENTO EM AÇO NA RMR</t>
  </si>
  <si>
    <t>700137U</t>
  </si>
  <si>
    <t>FORNECIMENTO E INSTALACAO DE TUBOS DE ACO SCHEDULE 40 DIAMETRO 8" PARA POCOS TUBULARES COM REVESTIMENTO EM ACO NA RMR</t>
  </si>
  <si>
    <t>700138U</t>
  </si>
  <si>
    <t>1 TOLDO +1 CONJUNTOS DE MESA E 4 CADEIRAS DE PLÁSTICO</t>
  </si>
  <si>
    <t>TIPO</t>
  </si>
  <si>
    <t>NÃO DESONERADO</t>
  </si>
  <si>
    <t>SINAPI</t>
  </si>
  <si>
    <t>COMPESA</t>
  </si>
  <si>
    <t>ITEM</t>
  </si>
  <si>
    <t>R$ UNIT.</t>
  </si>
  <si>
    <t>010204U</t>
  </si>
  <si>
    <t>060801U</t>
  </si>
  <si>
    <t>460104U</t>
  </si>
  <si>
    <t>460202U</t>
  </si>
  <si>
    <t>110307U</t>
  </si>
  <si>
    <t>500105U</t>
  </si>
  <si>
    <t>990171U</t>
  </si>
  <si>
    <t>BROCAS INTEGRADAS PARA MARTELETE (SERIE)</t>
  </si>
  <si>
    <t>200104U</t>
  </si>
  <si>
    <t>200601U</t>
  </si>
  <si>
    <t>200607U</t>
  </si>
  <si>
    <t>201004U</t>
  </si>
  <si>
    <t>201103U</t>
  </si>
  <si>
    <t>160101U</t>
  </si>
  <si>
    <t>SICRO</t>
  </si>
  <si>
    <t>B8953</t>
  </si>
  <si>
    <t>E9562</t>
  </si>
  <si>
    <t>E9617</t>
  </si>
  <si>
    <t>E9775</t>
  </si>
  <si>
    <t>990265U</t>
  </si>
  <si>
    <t>990264U</t>
  </si>
  <si>
    <t>KIT DE SEGURANÇA PARA CONDUTOR DE MOTO</t>
  </si>
  <si>
    <t>990464U</t>
  </si>
  <si>
    <t>KIT PRIMEIROS SOCORROS</t>
  </si>
  <si>
    <t>UND.</t>
  </si>
  <si>
    <t>990450U</t>
  </si>
  <si>
    <t>DETECTOR DE GASES</t>
  </si>
  <si>
    <t>990451U</t>
  </si>
  <si>
    <t>EXAUSTOR</t>
  </si>
  <si>
    <t>990452U</t>
  </si>
  <si>
    <t>TRIPÉ COM DOIS OU TRÊS OLHAIS</t>
  </si>
  <si>
    <t>990453U</t>
  </si>
  <si>
    <t>LINHA DE VIDA - COMPLETA</t>
  </si>
  <si>
    <t>990454U</t>
  </si>
  <si>
    <t>ESCADA (ALUMÍNIO)</t>
  </si>
  <si>
    <t>990455U</t>
  </si>
  <si>
    <t>990456U</t>
  </si>
  <si>
    <t xml:space="preserve">CORDA DE 12MM, EM NYLON OU POLIÉSTER, SEMI-ESTÁTICA COM 50 METROS </t>
  </si>
  <si>
    <t>990457U</t>
  </si>
  <si>
    <t xml:space="preserve">MACA ENVELOPE OU PRANCHA TIPO SKED (PLÁSTICO FLEXÍVEL) </t>
  </si>
  <si>
    <t>990458U</t>
  </si>
  <si>
    <t xml:space="preserve">DESCENSOR (ID) COM FREIO AUTO BLOCANTE </t>
  </si>
  <si>
    <t>990459U</t>
  </si>
  <si>
    <t>990460U</t>
  </si>
  <si>
    <t>990461U</t>
  </si>
  <si>
    <t>990462U</t>
  </si>
  <si>
    <t xml:space="preserve">CINTO PARA RESGATE COM 6 PONTOS DE ANCORAGEM </t>
  </si>
  <si>
    <t>990463U</t>
  </si>
  <si>
    <t>COLAR CERVICAL TAMANHO “M"</t>
  </si>
  <si>
    <t>990465U</t>
  </si>
  <si>
    <t>PLANO DE DADOS SMARTPHONE PÓS PAGO</t>
  </si>
  <si>
    <t>990466U</t>
  </si>
  <si>
    <t>FORMICIDA</t>
  </si>
  <si>
    <t>990467U</t>
  </si>
  <si>
    <t>INSETICIDA</t>
  </si>
  <si>
    <t>990468U</t>
  </si>
  <si>
    <t xml:space="preserve">ADUBO FOLIAR </t>
  </si>
  <si>
    <t>BAÚ PARA MOTO</t>
  </si>
  <si>
    <t>ANTENA CORTA PIPA</t>
  </si>
  <si>
    <t>PROTETOR DE MOTOR</t>
  </si>
  <si>
    <t>JOELHEIRA MOTOCICLISTA</t>
  </si>
  <si>
    <t>COTOVELEIRA MOTOCICLISTA</t>
  </si>
  <si>
    <t>LUVA MOTOCICLISTA</t>
  </si>
  <si>
    <t>COLETE PROTETOR DE COLUNA</t>
  </si>
  <si>
    <t>MANGAS PARA PROTEÇÃO SOLAR</t>
  </si>
  <si>
    <t>BOTAS MOTOCICLISTA</t>
  </si>
  <si>
    <t>REVISÃO</t>
  </si>
  <si>
    <t>MODIFICAÇÃO</t>
  </si>
  <si>
    <t>DATA</t>
  </si>
  <si>
    <t>Emissão inicial</t>
  </si>
  <si>
    <t>COM ENCARGOS COMPLEMENTARES</t>
  </si>
  <si>
    <t>CÓDIGO ALPHA</t>
  </si>
  <si>
    <t>280901u</t>
  </si>
  <si>
    <t>280101u</t>
  </si>
  <si>
    <t>SERVIÇOS GEOTÉCNICOS</t>
  </si>
  <si>
    <t>SINALIZAÇÃO</t>
  </si>
  <si>
    <t>PASSARELAS</t>
  </si>
  <si>
    <t>LOCAÇÃO E NIVELAMENTO DE VALAS</t>
  </si>
  <si>
    <t>LOCAÇÃO E DEMARCAÇÃO</t>
  </si>
  <si>
    <t>ENSAIOS</t>
  </si>
  <si>
    <t>INSTALAÇÕES PROVISÓRIAS/MOBILIZAÇÃO E DESMOBILIZAÇÃO</t>
  </si>
  <si>
    <t>TRABALHOS EM TERRA</t>
  </si>
  <si>
    <t>8.1</t>
  </si>
  <si>
    <t>ESCAVAÇÃO MANUAL EM MATERIAL DE PRIMEIRA E/ OU SEGUNDA CATEGORIA</t>
  </si>
  <si>
    <t>8.2</t>
  </si>
  <si>
    <t>ESCAVAÇÃO EM MATERIAL DE 3ª CATEGORIA (ROCHA)</t>
  </si>
  <si>
    <t>8.3</t>
  </si>
  <si>
    <t>8.4</t>
  </si>
  <si>
    <t>REGULARIZAÇÃO DE FUNDO DE VALA</t>
  </si>
  <si>
    <t>8.5</t>
  </si>
  <si>
    <t>REMOÇÃO DO MATERIAL ESCAVADO</t>
  </si>
  <si>
    <t>8.6</t>
  </si>
  <si>
    <t>REMOÇÃO COM CARRO DE MÃO</t>
  </si>
  <si>
    <t>8.7</t>
  </si>
  <si>
    <t>ATERRO / REATERRO / COMPACTAÇÃO</t>
  </si>
  <si>
    <t>8.8</t>
  </si>
  <si>
    <t>8.9</t>
  </si>
  <si>
    <t>RASPAGEM E LIMPEZA DO TERRENO</t>
  </si>
  <si>
    <t>8.10</t>
  </si>
  <si>
    <t>REGULARIZAÇÃO DE TERRENO NATURAL</t>
  </si>
  <si>
    <t>8.11</t>
  </si>
  <si>
    <t>CONSTRUÇÃO DE CAMINHO DE SERVIÇO</t>
  </si>
  <si>
    <t>8.12</t>
  </si>
  <si>
    <t>FORNECIMENTO DE MATERIAL PARA ATERRO</t>
  </si>
  <si>
    <t>MOMENTO DE TRANSPORTE</t>
  </si>
  <si>
    <t>ESCORAMENTO DE VALAS</t>
  </si>
  <si>
    <t>ENSECADEIRA</t>
  </si>
  <si>
    <t>ENROCAMENTO</t>
  </si>
  <si>
    <t>ESGOTAMENTO COM BOMBA</t>
  </si>
  <si>
    <t>PAVIMENTAÇÃO</t>
  </si>
  <si>
    <t>REPOSIÇÃO PAVIMENTAÇÃO</t>
  </si>
  <si>
    <t>DEMOLIÇÃO DE ALVENARIA / REVESTIMENTO</t>
  </si>
  <si>
    <t>DEMOLIÇÃO DE CONCRETO</t>
  </si>
  <si>
    <t>DEMOLIÇÃO DE PISOS</t>
  </si>
  <si>
    <t>DEMOLIÇÃO DE PAVIMENTO</t>
  </si>
  <si>
    <t>DEMOLIÇÃO DE FORROS</t>
  </si>
  <si>
    <t>DEMOLIÇÃO DE LOUÇAS E APARELHOS SANITÁRIOS</t>
  </si>
  <si>
    <t>RETIRADA DE MEIO FIO</t>
  </si>
  <si>
    <t>ALVENARIA DE TIJOLOS MACIÇOS</t>
  </si>
  <si>
    <t>ALVENARIA DE TIJOLOS APARENTES</t>
  </si>
  <si>
    <t>FERRAGENS E ESCORAMENTO VERTICAL</t>
  </si>
  <si>
    <t>CONCRETO/GRAUTE</t>
  </si>
  <si>
    <t>ARGAMASSA</t>
  </si>
  <si>
    <t>REVESTIMENTO DE CHAPISCO</t>
  </si>
  <si>
    <t>IMPERMEABILIZAÇÃO</t>
  </si>
  <si>
    <t>REVESTIMENTO COM AZULEJO</t>
  </si>
  <si>
    <t>ESQUADRIAS DE MADEIRA PARA PORTAS</t>
  </si>
  <si>
    <t>ESQUADRIAS DE MADEIRA / FERRO / ALUMINIO PARA JANELAS</t>
  </si>
  <si>
    <t>VIDROS</t>
  </si>
  <si>
    <t>CONSTRUÇÃO DE PISO</t>
  </si>
  <si>
    <t>CAIAÇÃO</t>
  </si>
  <si>
    <t>PINTURA COM TINTA LÁTEX EM DUAS DEMÃOS SEM EMASSAMENTO</t>
  </si>
  <si>
    <t>ABERTURA DE LETREIRO</t>
  </si>
  <si>
    <t>LOCAÇÃO DE ANDAIME</t>
  </si>
  <si>
    <t>COBERTURA COM TELHA FIBROCIMENTO</t>
  </si>
  <si>
    <t>BLOCOS DE ANCORAGEM</t>
  </si>
  <si>
    <t>POÇO DE VISITA EM POLIETIETILENO OU POLIPROPILENO</t>
  </si>
  <si>
    <t>LAJE PARA PV EM CONCRETO ARMADO</t>
  </si>
  <si>
    <t>ASSENTAMENTOS</t>
  </si>
  <si>
    <t>67.1</t>
  </si>
  <si>
    <t>ASSENTAMENTO DE TUBO DE CONCRETO</t>
  </si>
  <si>
    <t>67.2</t>
  </si>
  <si>
    <t>ASSENTAMENTO DE TUBOS E CONEXÕES DE AÇO, JUNTA SOLDADA, PARA ÁGUA.</t>
  </si>
  <si>
    <t>ASSENTAMENTO DE TUBO E CONEXOES DE POLIETILENO DE ALTA DENSIDADE (PEAD)</t>
  </si>
  <si>
    <t>ASSENTAMENTO DE TUBO DE PEAD CORRUGADO DE DUPLA PAREDE PARA REDE COLETORA DE ESGOTO</t>
  </si>
  <si>
    <t>ASSENTAMENTO DE TUBULACAO PELO METODO NAO DESTRUTIVO MND DIRECIONAL</t>
  </si>
  <si>
    <t>IMPLANTACAO DE TRAVESSIA PELO METODO NAO DESTRUTIVO COM TUBO CAMISA EM ACO CARBONO</t>
  </si>
  <si>
    <t>INTERLIGAÇÃO COM CORTE DE TUBO EM FERRO DÚCTIL</t>
  </si>
  <si>
    <t>INTERLIGAÇÃO COM CORTE DE TUBO EM PVC</t>
  </si>
  <si>
    <t>MONTAGEM DE JUNTA FLANGEADA DE TUBOS E CONEXÕES DE FERRO FUNDIDO</t>
  </si>
  <si>
    <t>HIDRANTE DE COLUNA</t>
  </si>
  <si>
    <t>TAMPONAMENTO DE REDE DE ESGOTOS</t>
  </si>
  <si>
    <t>LIGAÇÃO A POÇO DE VISITA EXISTENTE</t>
  </si>
  <si>
    <t>CAIXAS</t>
  </si>
  <si>
    <t>CONSTRUÇÃO DE CAIXA COLETORA PARA REDE SECA DE ESGOTO EM ALVENARIA</t>
  </si>
  <si>
    <t>CONSTRUÇÃO DE CAIXA DE PASSAGEM</t>
  </si>
  <si>
    <t>LIMPEZA E TESTE DE REDES E RESERVATÓRIO</t>
  </si>
  <si>
    <t>CADASTRO DE REDES</t>
  </si>
  <si>
    <t>SERVIÇOS TOPOGRÁFICOS</t>
  </si>
  <si>
    <t>INSTALAÇÕES HIDRÁULICAS E DE ESGOTAMENTO</t>
  </si>
  <si>
    <t>78.1</t>
  </si>
  <si>
    <t>PONTO DE ÁGUA E INSTALAÇÕES HIDRÁULICAS</t>
  </si>
  <si>
    <t>78.2</t>
  </si>
  <si>
    <t>PONTO DE ESGOTO</t>
  </si>
  <si>
    <t>INSTALAÇÕES ELÉTRICAS E DE TELEFONE</t>
  </si>
  <si>
    <t>INSTALAÇÕES PREDIAIS</t>
  </si>
  <si>
    <t>INSTALAÇÃO DE CONDULETES</t>
  </si>
  <si>
    <t>CONEXÕES DE CABOS</t>
  </si>
  <si>
    <t>INSTALAÇÃO DE CABOS DE COBRE NUS</t>
  </si>
  <si>
    <t>INSTALAÇÃO DE CABOS DE COBRE ISOLADOS</t>
  </si>
  <si>
    <t>INSTALAÇÃO DISJUNTORES</t>
  </si>
  <si>
    <t>INSTALAÇÃO DE ELETRODUTOS</t>
  </si>
  <si>
    <t>INSTALAÇÃO DE ELETROCALHAS</t>
  </si>
  <si>
    <t>INSTALAÇÃO GERADORES/MÓDULOS DE DISTRIBUIÇÃO/COMANDO</t>
  </si>
  <si>
    <t>INSTALAÇÃO DE MEDIÇÃO</t>
  </si>
  <si>
    <t>INSTALAÇÃO DE POSTE COM LUMINÁRIA/PROJETOR</t>
  </si>
  <si>
    <t>EXECUÇÃO DE SOLDA</t>
  </si>
  <si>
    <t>INSTALAÇÃO DE SUBESTAÇÃO</t>
  </si>
  <si>
    <t>INSTALAÇÃO DE QUADRO DE DISTRIBUIÇÃO DE ENERGIA</t>
  </si>
  <si>
    <t>INSTALAÇÃO DE CONJUNTO MOTOBOMBA</t>
  </si>
  <si>
    <t>FILTROS</t>
  </si>
  <si>
    <t>INSTALAÇÃO OU SUBSTITUIÇÃO DE RAMAIS PREDIAIS DE ÁGUA</t>
  </si>
  <si>
    <t>INSTALAÇÃO OU SUBSTITUIÇÃO DE RAMAIS PREDIAIS DE ESGOTO</t>
  </si>
  <si>
    <t>INSTALAÇÃO DE CERCAS</t>
  </si>
  <si>
    <t>PLANTIO DE CAPIM/GRAMA</t>
  </si>
  <si>
    <t>MURO / PORTÕES</t>
  </si>
  <si>
    <t>GUARDA CORPO / ESCADA DE MARINEIRO / GRADE DE FERRO/MONOVIA</t>
  </si>
  <si>
    <t>LIMPEZA DE CAIXAS</t>
  </si>
  <si>
    <t>LIMPEZA DE CAIXA DE REUNIÃO DO LODO E DO LEITO DE SECAGEM</t>
  </si>
  <si>
    <t>LIMPEZAS E DESOBSTRUÇÃO DE CAIXAS, POÇOS E REDES DE ESGOTO</t>
  </si>
  <si>
    <t>CARGA, TRANSPORTE E DESCARGA DE TUBOS E PEÇAS EM PVC</t>
  </si>
  <si>
    <t>SERVIÇOS COM HIDRÔMETROS E COMERCIAIS</t>
  </si>
  <si>
    <t>89.1</t>
  </si>
  <si>
    <t>INSTALAÇÃO E SUBSTITUIÇÃO DE HIDRÔMETROS</t>
  </si>
  <si>
    <t>SERVIÇOS COMERCIAIS (ENCARGOS MENSALISTAS)</t>
  </si>
  <si>
    <t>AMBIENTAL</t>
  </si>
  <si>
    <t>90.1</t>
  </si>
  <si>
    <t>PLANTIO E MANUTENÇÃO DE MUDAS</t>
  </si>
  <si>
    <t>OBRAS E SERVIÇOS DE PERFURAÇÃO DE POÇOS TUBULARES</t>
  </si>
  <si>
    <t>OBRAS E SERVIÇOS DE PERFURAÇÃO DE POÇOS TUBULARES COM REVESTIMENTO EM AÇO NA RMR</t>
  </si>
  <si>
    <t>OBRAS E SERVIÇOS DE PERFURAÇÃO DE POÇOS TUBULARES COM REVESTIMENTO EM PVC NO INTERIOR DO ESTADO E RMR</t>
  </si>
  <si>
    <t xml:space="preserve">    Av. Jayme da Fonte, s/n – Stº Amaro – Fone: 3412-9000 – PABX  – Recife – PE</t>
  </si>
  <si>
    <t>01.02.01U</t>
  </si>
  <si>
    <t>01.02.02U</t>
  </si>
  <si>
    <t>01.02.03U</t>
  </si>
  <si>
    <t>01.02.05U</t>
  </si>
  <si>
    <t>01.03.07U</t>
  </si>
  <si>
    <t>01.03.08U</t>
  </si>
  <si>
    <t>01.03.09U</t>
  </si>
  <si>
    <t>01.03.10U</t>
  </si>
  <si>
    <t>01.03.11U</t>
  </si>
  <si>
    <t>01.03.12U</t>
  </si>
  <si>
    <t>01.03.13U</t>
  </si>
  <si>
    <t>01.03.14U</t>
  </si>
  <si>
    <t>01.03.15U</t>
  </si>
  <si>
    <t>01.03.16U</t>
  </si>
  <si>
    <t>01.03.17U</t>
  </si>
  <si>
    <t>01.04.01U</t>
  </si>
  <si>
    <t>01.04.02U</t>
  </si>
  <si>
    <t>01.04.03U</t>
  </si>
  <si>
    <t>01.05.08U</t>
  </si>
  <si>
    <t>01.05.05U</t>
  </si>
  <si>
    <t>01.06.01U</t>
  </si>
  <si>
    <t>01.06.04U</t>
  </si>
  <si>
    <t>01.06.05U</t>
  </si>
  <si>
    <t>01.07.01U</t>
  </si>
  <si>
    <t>01.07.02U</t>
  </si>
  <si>
    <t>01.07.03U</t>
  </si>
  <si>
    <t>01.07.04U</t>
  </si>
  <si>
    <t>01.07.05U</t>
  </si>
  <si>
    <t>01.07.06U</t>
  </si>
  <si>
    <t>01.07.07U</t>
  </si>
  <si>
    <t>01.07.08U</t>
  </si>
  <si>
    <t>01.07.09U</t>
  </si>
  <si>
    <t>01.07.10U</t>
  </si>
  <si>
    <t>01.07.11U</t>
  </si>
  <si>
    <t>01.07.12U</t>
  </si>
  <si>
    <t>01.07.13U</t>
  </si>
  <si>
    <t>01.07.15U</t>
  </si>
  <si>
    <t>01.07.16U</t>
  </si>
  <si>
    <t>01.07.17U</t>
  </si>
  <si>
    <t>01.07.18U</t>
  </si>
  <si>
    <t>01.07.19U</t>
  </si>
  <si>
    <t>01.07.20U</t>
  </si>
  <si>
    <t>01.07.21U</t>
  </si>
  <si>
    <t>01.07.22U</t>
  </si>
  <si>
    <t>01.07.23U</t>
  </si>
  <si>
    <t>01.08.36U</t>
  </si>
  <si>
    <t>01.08.37U</t>
  </si>
  <si>
    <t>01.08.38U</t>
  </si>
  <si>
    <t>01.08.42U</t>
  </si>
  <si>
    <t>01.08.41U</t>
  </si>
  <si>
    <t>02.03.05U</t>
  </si>
  <si>
    <t>02.03.07U</t>
  </si>
  <si>
    <t>02.03.09U</t>
  </si>
  <si>
    <t>58.01.01U</t>
  </si>
  <si>
    <t>02.04.01U</t>
  </si>
  <si>
    <t>02.04.21U</t>
  </si>
  <si>
    <t>02.04.61U</t>
  </si>
  <si>
    <t>02.04.62U</t>
  </si>
  <si>
    <t>02.05.01U</t>
  </si>
  <si>
    <t>02.05.02U</t>
  </si>
  <si>
    <t>02.05.05U</t>
  </si>
  <si>
    <t>02.05.52U</t>
  </si>
  <si>
    <t>02.05.08U</t>
  </si>
  <si>
    <t>02.05.09U</t>
  </si>
  <si>
    <t>02.05.70U</t>
  </si>
  <si>
    <t>02.05.72U</t>
  </si>
  <si>
    <t>02.05.74U</t>
  </si>
  <si>
    <t>02.05.76U</t>
  </si>
  <si>
    <t>02.05.60U</t>
  </si>
  <si>
    <t>02.05.14U</t>
  </si>
  <si>
    <t>02.06.01U</t>
  </si>
  <si>
    <t>02.06.02U</t>
  </si>
  <si>
    <t>02.06.03U</t>
  </si>
  <si>
    <t>02.06.04U</t>
  </si>
  <si>
    <t>02.06.05U</t>
  </si>
  <si>
    <t>02.06.06U</t>
  </si>
  <si>
    <t>02.07.14U</t>
  </si>
  <si>
    <t>02.07.16U</t>
  </si>
  <si>
    <t>02.07.17U</t>
  </si>
  <si>
    <t>02.08.01U</t>
  </si>
  <si>
    <t>02.10.01U</t>
  </si>
  <si>
    <t>60.01.08U</t>
  </si>
  <si>
    <t>03.02.01U</t>
  </si>
  <si>
    <t>03.02.02U</t>
  </si>
  <si>
    <t>05.01.01U</t>
  </si>
  <si>
    <t>05.01.02U</t>
  </si>
  <si>
    <t>60.01.07U</t>
  </si>
  <si>
    <t>08.01.04U</t>
  </si>
  <si>
    <t>08.01.05U</t>
  </si>
  <si>
    <t>08.01.06U</t>
  </si>
  <si>
    <t>08.01.10U</t>
  </si>
  <si>
    <t>08.01.12U</t>
  </si>
  <si>
    <t>08.01.13U</t>
  </si>
  <si>
    <t>08.01.14U</t>
  </si>
  <si>
    <t>08.01.22U</t>
  </si>
  <si>
    <t>09.01.01U</t>
  </si>
  <si>
    <t>09.01.04U</t>
  </si>
  <si>
    <t>09.01.05U</t>
  </si>
  <si>
    <t>10.01.02U</t>
  </si>
  <si>
    <t>10.01.11U</t>
  </si>
  <si>
    <t>10.01.12U</t>
  </si>
  <si>
    <t>10.02.01U</t>
  </si>
  <si>
    <t>10.02.02U</t>
  </si>
  <si>
    <t>10.02.15U</t>
  </si>
  <si>
    <t>10.02.16U</t>
  </si>
  <si>
    <t>10.03.01U</t>
  </si>
  <si>
    <t>10.03.02U</t>
  </si>
  <si>
    <t>10.03.03U</t>
  </si>
  <si>
    <t>10.03.04U</t>
  </si>
  <si>
    <t>10.03.05U</t>
  </si>
  <si>
    <t>10.02.07U</t>
  </si>
  <si>
    <t>10.02.08U</t>
  </si>
  <si>
    <t>10.02.09U</t>
  </si>
  <si>
    <t>10.03.11U</t>
  </si>
  <si>
    <t>10.03.12U</t>
  </si>
  <si>
    <t>10.03.13U</t>
  </si>
  <si>
    <t>10.03.14U</t>
  </si>
  <si>
    <t>10.03.15U</t>
  </si>
  <si>
    <t>10.04.02U</t>
  </si>
  <si>
    <t>10.04.03U</t>
  </si>
  <si>
    <t>10.04.04U</t>
  </si>
  <si>
    <t>10.04.05U</t>
  </si>
  <si>
    <t>10.05.01U</t>
  </si>
  <si>
    <t>10.08.04U</t>
  </si>
  <si>
    <t>10.08.05U</t>
  </si>
  <si>
    <t>10.08.06U</t>
  </si>
  <si>
    <t>10.08.07U</t>
  </si>
  <si>
    <t>10.09.04U</t>
  </si>
  <si>
    <t>11.03.01U</t>
  </si>
  <si>
    <t>13.02.10U</t>
  </si>
  <si>
    <t>13.03.61U</t>
  </si>
  <si>
    <t>13.03.64U</t>
  </si>
  <si>
    <t>13.03.66U</t>
  </si>
  <si>
    <t>13.03.68U</t>
  </si>
  <si>
    <t>13.05.01U</t>
  </si>
  <si>
    <t>13.05.04U</t>
  </si>
  <si>
    <t>13.05.05U</t>
  </si>
  <si>
    <t>13.05.06U</t>
  </si>
  <si>
    <t>13.05.12U</t>
  </si>
  <si>
    <t>14.01.03U</t>
  </si>
  <si>
    <t>14.01.02U</t>
  </si>
  <si>
    <t>14.04.03U</t>
  </si>
  <si>
    <t>14.04.04U</t>
  </si>
  <si>
    <t>14.04.06U</t>
  </si>
  <si>
    <t>14.05.02U</t>
  </si>
  <si>
    <t>15.01.01U</t>
  </si>
  <si>
    <t>15.01.02U</t>
  </si>
  <si>
    <t>15.01.03U</t>
  </si>
  <si>
    <t>15.02.01U</t>
  </si>
  <si>
    <t>15.02.02U</t>
  </si>
  <si>
    <t>15.02.03U</t>
  </si>
  <si>
    <t>15.02.04U</t>
  </si>
  <si>
    <t>15.03.01U</t>
  </si>
  <si>
    <t>15.03.02U</t>
  </si>
  <si>
    <t>15.03.03U</t>
  </si>
  <si>
    <t>16.01.02U</t>
  </si>
  <si>
    <t>16.01.03U</t>
  </si>
  <si>
    <t>16.03.01U</t>
  </si>
  <si>
    <t>16.01.05U</t>
  </si>
  <si>
    <t>16.01.07U</t>
  </si>
  <si>
    <t>16.01.08U</t>
  </si>
  <si>
    <t>17.01.01U</t>
  </si>
  <si>
    <t>17.01.02U</t>
  </si>
  <si>
    <t>17.02.05U</t>
  </si>
  <si>
    <t>17.06.01U</t>
  </si>
  <si>
    <t>17.07.01U</t>
  </si>
  <si>
    <t>19.01.08U</t>
  </si>
  <si>
    <t>19.01.09U</t>
  </si>
  <si>
    <t>19.01.10U</t>
  </si>
  <si>
    <t>19.01.11U</t>
  </si>
  <si>
    <t>20.03.01U</t>
  </si>
  <si>
    <t>20.03.02U</t>
  </si>
  <si>
    <t>20.03.03U</t>
  </si>
  <si>
    <t>20.03.04U</t>
  </si>
  <si>
    <t>20.03.05U</t>
  </si>
  <si>
    <t>20.04.12U</t>
  </si>
  <si>
    <t>21.01.07U</t>
  </si>
  <si>
    <t>23.01.01U</t>
  </si>
  <si>
    <t>23.01.02U</t>
  </si>
  <si>
    <t>23.01.03U</t>
  </si>
  <si>
    <t>23.01.71U</t>
  </si>
  <si>
    <t>23.01.72U</t>
  </si>
  <si>
    <t>23.01.28U</t>
  </si>
  <si>
    <t>23.01.29U</t>
  </si>
  <si>
    <t>23.01.30U</t>
  </si>
  <si>
    <t>23.01.31U</t>
  </si>
  <si>
    <t>23.01.32U</t>
  </si>
  <si>
    <t>23.01.33U</t>
  </si>
  <si>
    <t>23.01.34U</t>
  </si>
  <si>
    <t>23.01.35U</t>
  </si>
  <si>
    <t>23.01.36U</t>
  </si>
  <si>
    <t>23.01.37U</t>
  </si>
  <si>
    <t>23.01.38U</t>
  </si>
  <si>
    <t>23.01.39U</t>
  </si>
  <si>
    <t>23.01.40U</t>
  </si>
  <si>
    <t>23.01.41U</t>
  </si>
  <si>
    <t>23.01.42U</t>
  </si>
  <si>
    <t>23.01.43U</t>
  </si>
  <si>
    <t>23.01.44U</t>
  </si>
  <si>
    <t>23.01.45U</t>
  </si>
  <si>
    <t>23.01.46U</t>
  </si>
  <si>
    <t>23.01.47U</t>
  </si>
  <si>
    <t>23.01.48U</t>
  </si>
  <si>
    <t>23.01.49U</t>
  </si>
  <si>
    <t>23.01.50U</t>
  </si>
  <si>
    <t>23.01.51U</t>
  </si>
  <si>
    <t>23.01.52U</t>
  </si>
  <si>
    <t>23.01.53U</t>
  </si>
  <si>
    <t>23.01.54U</t>
  </si>
  <si>
    <t>23.01.55U</t>
  </si>
  <si>
    <t>23.01.56U</t>
  </si>
  <si>
    <t>23.01.57U</t>
  </si>
  <si>
    <t>23.01.58U</t>
  </si>
  <si>
    <t>23.01.59U</t>
  </si>
  <si>
    <t>23.01.60U</t>
  </si>
  <si>
    <t>23.01.61U</t>
  </si>
  <si>
    <t>23.01.62U</t>
  </si>
  <si>
    <t>22.03.11U</t>
  </si>
  <si>
    <t>22.03.12U</t>
  </si>
  <si>
    <t>22.03.13U</t>
  </si>
  <si>
    <t>23.03.05U</t>
  </si>
  <si>
    <t>23.03.06U</t>
  </si>
  <si>
    <t>24.01.01U</t>
  </si>
  <si>
    <t>24.02.09U</t>
  </si>
  <si>
    <t>24.02.10U</t>
  </si>
  <si>
    <t>24.02.11U</t>
  </si>
  <si>
    <t>25.04.01U</t>
  </si>
  <si>
    <t>25.04.02U</t>
  </si>
  <si>
    <t>25.04.03U</t>
  </si>
  <si>
    <t>25.04.04U</t>
  </si>
  <si>
    <t>25.04.05U</t>
  </si>
  <si>
    <t>25.05.01U</t>
  </si>
  <si>
    <t>26.03.01U</t>
  </si>
  <si>
    <t>26.03.02U</t>
  </si>
  <si>
    <t>27.01.05U</t>
  </si>
  <si>
    <t>27.01.06U</t>
  </si>
  <si>
    <t>27.01.04U</t>
  </si>
  <si>
    <t>27.02.03U</t>
  </si>
  <si>
    <t>27.02.04U</t>
  </si>
  <si>
    <t>27.03.01U</t>
  </si>
  <si>
    <t>27.04.01U</t>
  </si>
  <si>
    <t>27.04.05U</t>
  </si>
  <si>
    <t>27.04.06U</t>
  </si>
  <si>
    <t>27.04.07U</t>
  </si>
  <si>
    <t>28.01.21U</t>
  </si>
  <si>
    <t>28.01.22U</t>
  </si>
  <si>
    <t>28.01.23U</t>
  </si>
  <si>
    <t>28.01.29U</t>
  </si>
  <si>
    <t>29.02.07U</t>
  </si>
  <si>
    <t>29.02.08U</t>
  </si>
  <si>
    <t>29.02.09U</t>
  </si>
  <si>
    <t>29.02.10U</t>
  </si>
  <si>
    <t>29.02.11U</t>
  </si>
  <si>
    <t>29.02.14U</t>
  </si>
  <si>
    <t>29.02.16U</t>
  </si>
  <si>
    <t>29.02.19U</t>
  </si>
  <si>
    <t>29.02.22U</t>
  </si>
  <si>
    <t>29.02.24U</t>
  </si>
  <si>
    <t>29.03.01U</t>
  </si>
  <si>
    <t>29.03.02U</t>
  </si>
  <si>
    <t>71.01.01U</t>
  </si>
  <si>
    <t>71.01.02U</t>
  </si>
  <si>
    <t>71.02.01U</t>
  </si>
  <si>
    <t>71.03.01U</t>
  </si>
  <si>
    <t>71.03.02U</t>
  </si>
  <si>
    <t>71.03.03U</t>
  </si>
  <si>
    <t>71.03.08U</t>
  </si>
  <si>
    <t>71.04.01U</t>
  </si>
  <si>
    <t>71.04.02U</t>
  </si>
  <si>
    <t>71.04.03U</t>
  </si>
  <si>
    <t>71.04.04U</t>
  </si>
  <si>
    <t>71.04.05U</t>
  </si>
  <si>
    <t>71.04.06U</t>
  </si>
  <si>
    <t>71.04.07U</t>
  </si>
  <si>
    <t>71.04.08U</t>
  </si>
  <si>
    <t>71.04.09U</t>
  </si>
  <si>
    <t>71.04.10U</t>
  </si>
  <si>
    <t>71.04.11U</t>
  </si>
  <si>
    <t>71.04.12U</t>
  </si>
  <si>
    <t>71.04.13U</t>
  </si>
  <si>
    <t>71.04.14U</t>
  </si>
  <si>
    <t>71.04.15U</t>
  </si>
  <si>
    <t>71.04.16U</t>
  </si>
  <si>
    <t>71.04.17U</t>
  </si>
  <si>
    <t>71.05.05U</t>
  </si>
  <si>
    <t>71.05.06U</t>
  </si>
  <si>
    <t>71.05.07U</t>
  </si>
  <si>
    <t>71.05.08U</t>
  </si>
  <si>
    <t>71.05.09U</t>
  </si>
  <si>
    <t>71.05.10U</t>
  </si>
  <si>
    <t>71.05.11U</t>
  </si>
  <si>
    <t>71.06.01U</t>
  </si>
  <si>
    <t>71.06.02U</t>
  </si>
  <si>
    <t>71.06.03U</t>
  </si>
  <si>
    <t>71.06.10U</t>
  </si>
  <si>
    <t>71.06.11U</t>
  </si>
  <si>
    <t>71.06.12U</t>
  </si>
  <si>
    <t>71.07.01U</t>
  </si>
  <si>
    <t>71.07.02U</t>
  </si>
  <si>
    <t>71.07.03U</t>
  </si>
  <si>
    <t>71.08.01U</t>
  </si>
  <si>
    <t>71.08.02U</t>
  </si>
  <si>
    <t>71.08.03U</t>
  </si>
  <si>
    <t>71.08.04U</t>
  </si>
  <si>
    <t>71.08.05U</t>
  </si>
  <si>
    <t>71.08.06U</t>
  </si>
  <si>
    <t>71.08.07U</t>
  </si>
  <si>
    <t>71.09.01U</t>
  </si>
  <si>
    <t>71.09.02U</t>
  </si>
  <si>
    <t>71.09.03U</t>
  </si>
  <si>
    <t>71.09.04U</t>
  </si>
  <si>
    <t>71.09.05U</t>
  </si>
  <si>
    <t>71.09.06U</t>
  </si>
  <si>
    <t>71.10.21U</t>
  </si>
  <si>
    <t>71.10.22U</t>
  </si>
  <si>
    <t>71.10.23U</t>
  </si>
  <si>
    <t>71.10.24U</t>
  </si>
  <si>
    <t>71.10.25U</t>
  </si>
  <si>
    <t>71.10.26U</t>
  </si>
  <si>
    <t>71.10.27U</t>
  </si>
  <si>
    <t>71.10.28U</t>
  </si>
  <si>
    <t>71.10.29U</t>
  </si>
  <si>
    <t>71.10.30U</t>
  </si>
  <si>
    <t>71.10.31U</t>
  </si>
  <si>
    <t>71.10.32U</t>
  </si>
  <si>
    <t>71.11.01U</t>
  </si>
  <si>
    <t>71.11.02U</t>
  </si>
  <si>
    <t>71.11.03U</t>
  </si>
  <si>
    <t>71.11.04U</t>
  </si>
  <si>
    <t>71.11.05U</t>
  </si>
  <si>
    <t>71.12.01U</t>
  </si>
  <si>
    <t>71.12.02U</t>
  </si>
  <si>
    <t>71.12.03U</t>
  </si>
  <si>
    <t>71.13.01U</t>
  </si>
  <si>
    <t>71.13.03U</t>
  </si>
  <si>
    <t>71.13.04U</t>
  </si>
  <si>
    <t>71.14.01U</t>
  </si>
  <si>
    <t>71.14.02U</t>
  </si>
  <si>
    <t>71.14.03U</t>
  </si>
  <si>
    <t>71.14.04U</t>
  </si>
  <si>
    <t>71.14.05U</t>
  </si>
  <si>
    <t>71.14.06U</t>
  </si>
  <si>
    <t>71.14.07U</t>
  </si>
  <si>
    <t>71.14.08U</t>
  </si>
  <si>
    <t>71.14.09U</t>
  </si>
  <si>
    <t>71.14.10U</t>
  </si>
  <si>
    <t>71.14.11U</t>
  </si>
  <si>
    <t>31.08.10U</t>
  </si>
  <si>
    <t>31.08.11U</t>
  </si>
  <si>
    <t>31.08.12U</t>
  </si>
  <si>
    <t>31.08.13U</t>
  </si>
  <si>
    <t>31.08.14U</t>
  </si>
  <si>
    <t>32.01.05U</t>
  </si>
  <si>
    <t>32.03.04U</t>
  </si>
  <si>
    <t>32.03.05U</t>
  </si>
  <si>
    <t>32.03.06U</t>
  </si>
  <si>
    <t>33.02.02U</t>
  </si>
  <si>
    <t>33.02.03U</t>
  </si>
  <si>
    <t>33.08.01U</t>
  </si>
  <si>
    <t>33.07.02U</t>
  </si>
  <si>
    <t>33.07.03U</t>
  </si>
  <si>
    <t>33.07.04U</t>
  </si>
  <si>
    <t>33.07.05U</t>
  </si>
  <si>
    <t>33.07.06U</t>
  </si>
  <si>
    <t>33.07.10U</t>
  </si>
  <si>
    <t>33.07.08U</t>
  </si>
  <si>
    <t>33.07.09U</t>
  </si>
  <si>
    <t>38.01.08U</t>
  </si>
  <si>
    <t>50.01.14U</t>
  </si>
  <si>
    <t>50.01.15U</t>
  </si>
  <si>
    <t>50.01.16U</t>
  </si>
  <si>
    <t>50.01.09U</t>
  </si>
  <si>
    <t>50.01.12U</t>
  </si>
  <si>
    <t>50.01.13U</t>
  </si>
  <si>
    <t>50.02.01U</t>
  </si>
  <si>
    <t>50.02.02U</t>
  </si>
  <si>
    <t>50.02.03U</t>
  </si>
  <si>
    <t>50.02.04U</t>
  </si>
  <si>
    <t>50.02.05U</t>
  </si>
  <si>
    <t>51.01.01U</t>
  </si>
  <si>
    <t>51.01.02U</t>
  </si>
  <si>
    <t>51.01.03U</t>
  </si>
  <si>
    <t>51.01.05U</t>
  </si>
  <si>
    <t>70.01.01U</t>
  </si>
  <si>
    <t>70.01.02U</t>
  </si>
  <si>
    <t>70.01.03U</t>
  </si>
  <si>
    <t>70.01.04U</t>
  </si>
  <si>
    <t>70.01.05U</t>
  </si>
  <si>
    <t>70.01.06U</t>
  </si>
  <si>
    <t>70.01.07U</t>
  </si>
  <si>
    <t>70.01.08U</t>
  </si>
  <si>
    <t>70.01.09U</t>
  </si>
  <si>
    <t>70.01.10U</t>
  </si>
  <si>
    <t>70.01.11U</t>
  </si>
  <si>
    <t>70.01.12U</t>
  </si>
  <si>
    <t>70.01.13U</t>
  </si>
  <si>
    <t>70.01.14U</t>
  </si>
  <si>
    <t>70.01.15U</t>
  </si>
  <si>
    <t>70.01.16U</t>
  </si>
  <si>
    <t>70.01.17U</t>
  </si>
  <si>
    <t>70.01.36U</t>
  </si>
  <si>
    <t>70.01.37U</t>
  </si>
  <si>
    <t>70.01.38U</t>
  </si>
  <si>
    <t>70.01.19U</t>
  </si>
  <si>
    <t>70.01.20U</t>
  </si>
  <si>
    <t>70.01.21U</t>
  </si>
  <si>
    <t>70.01.22U</t>
  </si>
  <si>
    <t>70.01.23U</t>
  </si>
  <si>
    <t>70.01.24U</t>
  </si>
  <si>
    <t>70.01.25U</t>
  </si>
  <si>
    <t>70.01.26U</t>
  </si>
  <si>
    <t>70.01.27U</t>
  </si>
  <si>
    <t>70.01.28U</t>
  </si>
  <si>
    <t>70.01.29U</t>
  </si>
  <si>
    <t>70.01.30U</t>
  </si>
  <si>
    <t>70.01.31U</t>
  </si>
  <si>
    <t>70.01.32U</t>
  </si>
  <si>
    <t>70.01.33U</t>
  </si>
  <si>
    <t>70.01.34U</t>
  </si>
  <si>
    <t>70.01.35U</t>
  </si>
  <si>
    <t>59.01.12U</t>
  </si>
  <si>
    <t>59.01.13U</t>
  </si>
  <si>
    <t>59.01.02U</t>
  </si>
  <si>
    <t>TABELAS / ATAS</t>
  </si>
  <si>
    <t>COLETA 1</t>
  </si>
  <si>
    <t>COLETA 2</t>
  </si>
  <si>
    <t>COLETA 3</t>
  </si>
  <si>
    <t>TOLDO</t>
  </si>
  <si>
    <t>AÇO</t>
  </si>
  <si>
    <t>33.04.01U</t>
  </si>
  <si>
    <t>32.02.04U</t>
  </si>
  <si>
    <t>33.02.01U</t>
  </si>
  <si>
    <t>COLETA 4</t>
  </si>
  <si>
    <t>N</t>
  </si>
  <si>
    <t>MOTO</t>
  </si>
  <si>
    <t>1 MESA + 4 CADEIRAS</t>
  </si>
  <si>
    <t xml:space="preserve">CONE DE SINALIZACAO EM PVC RIGIDO COM FAIXA REFLETIVA, H = 70 / 76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</si>
  <si>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POÇOS</t>
  </si>
  <si>
    <t>UNIDADE</t>
  </si>
  <si>
    <t>TOTAL</t>
  </si>
  <si>
    <t>E9093</t>
  </si>
  <si>
    <t>E9684</t>
  </si>
  <si>
    <t>800101U</t>
  </si>
  <si>
    <t>CADEIRA SUSPENSA OU SUPORTE DE OMBROS(CADEIRA SUSPENSA MANUAL / BALANCIM INDIVIDUAL (NBR 14751))</t>
  </si>
  <si>
    <t xml:space="preserve">GRUPO DE SOLDAGEM COM GERADOR A DIESEL 60 CV PARA SOLDA ELÉTRICA, SOBRE 04 RODAS, COM MOTOR 4 CILINDROS 600 A - CHP DIURNO. </t>
  </si>
  <si>
    <t>INSUMOS ASFÁLTICOS</t>
  </si>
  <si>
    <t>QUANTIDADE</t>
  </si>
  <si>
    <t>COLETA 5</t>
  </si>
  <si>
    <t>MARCO METÁLICO PARA IMPLANTACAO DO PONTO</t>
  </si>
  <si>
    <t xml:space="preserve">COMPANHIA PERNAMBUCANA DE SANEAMENTO - COMPESA
</t>
  </si>
  <si>
    <t>PRODUTIVIDADE DIÁRIA MÉDIA POR OPERADOR</t>
  </si>
  <si>
    <t>A</t>
  </si>
  <si>
    <t>MÃO DE OBRA</t>
  </si>
  <si>
    <t>QUANT.</t>
  </si>
  <si>
    <t>P. UNIT.</t>
  </si>
  <si>
    <t>P.TOTAL</t>
  </si>
  <si>
    <t xml:space="preserve">GESTOR - ENGº  (SENGEPE) </t>
  </si>
  <si>
    <t>SUPERVISOR DE ÁREA: 1 PARA 162 AGENTES COMERCIAIS (3,0 PISOS DA CATEGORIA)</t>
  </si>
  <si>
    <t>ENCARREGADO: 1 PARA CADA 18 AGENTES COMERCIAIS (2,0 PISOS DA CATEGORIA)</t>
  </si>
  <si>
    <t>TÉCNICO DE INFORMÁTICA: 1 PARA 162 AGENTES COMERCIAIS (PISO DA CATEGORIA)</t>
  </si>
  <si>
    <t>FISCAL: 1 PARA CADA 9 AGENTES COMERCIAIS (1,5 PISOS DA CATEGORIA)</t>
  </si>
  <si>
    <t>AGENTE COMERCIAL, SALÁRIO DE ACORDO C/ STEALMOAIC, (1,0 PISOS DA CATEGORIA)</t>
  </si>
  <si>
    <t>Sub total A</t>
  </si>
  <si>
    <t>B</t>
  </si>
  <si>
    <t>EQUIPAMENTOS/INSUMOS</t>
  </si>
  <si>
    <t>SEGURO PARA SMARTPHONE (10% DO VALOR DO ALUGUEL)</t>
  </si>
  <si>
    <t>B8951</t>
  </si>
  <si>
    <t>ESCRITÓRIO: R$ / MÊS X (9*18) AGENTES (DNIT CONSULTORIA )</t>
  </si>
  <si>
    <t>MOBILIÁRIO DE ESCRITÓRIO: R$ 763,75 / MÊS X (9*18) AGENTES (DNIT CONSULTORIA )</t>
  </si>
  <si>
    <t>MOTO (FISCAL) C/ COMBUSTÍVEL</t>
  </si>
  <si>
    <t>SUB TOTAL B</t>
  </si>
  <si>
    <t>CONSIDERANDO QUE EM UM MÊS SÃO ATENDIDOS (PROD.X22)</t>
  </si>
  <si>
    <t xml:space="preserve">CUSTO POR UNIDADE DE LEITURA (ATENDIMENTO);        </t>
  </si>
  <si>
    <t>980187U</t>
  </si>
  <si>
    <t>980188U</t>
  </si>
  <si>
    <t>990119U</t>
  </si>
  <si>
    <t>TIFOR - 3,2 TONELADAS - CABO DE 20 M</t>
  </si>
  <si>
    <t>270818U</t>
  </si>
  <si>
    <t>ELETRODO A BASE DE FERRO NIQUEL (MINIMO DE 60% DE NIQUEL) PARA SOLDAGEM DE TODOS OS TIPOS DE FERRO FUNDIDO, DIAMETRO DE 3,25 MM</t>
  </si>
  <si>
    <t>200503U</t>
  </si>
  <si>
    <t>PRIMER PROTETOR ANTICORROSIVO A BASE DE ZINCO PARA METAIS</t>
  </si>
  <si>
    <t>66.1</t>
  </si>
  <si>
    <t>66.2</t>
  </si>
  <si>
    <t>66.3</t>
  </si>
  <si>
    <t>66.4</t>
  </si>
  <si>
    <t>66.5</t>
  </si>
  <si>
    <t>66.6</t>
  </si>
  <si>
    <t>66.7</t>
  </si>
  <si>
    <t>66.8</t>
  </si>
  <si>
    <t>73.1</t>
  </si>
  <si>
    <t>73.2</t>
  </si>
  <si>
    <t>73.3</t>
  </si>
  <si>
    <t>73.4</t>
  </si>
  <si>
    <t>73.5</t>
  </si>
  <si>
    <t>73.8</t>
  </si>
  <si>
    <t>73.9</t>
  </si>
  <si>
    <t>77.1</t>
  </si>
  <si>
    <t>77.2</t>
  </si>
  <si>
    <t>78.3</t>
  </si>
  <si>
    <t>78.4</t>
  </si>
  <si>
    <t>78.5</t>
  </si>
  <si>
    <t>78.6</t>
  </si>
  <si>
    <t>78.7</t>
  </si>
  <si>
    <t>78.8</t>
  </si>
  <si>
    <t>78.9</t>
  </si>
  <si>
    <t>78.10</t>
  </si>
  <si>
    <t>78.11</t>
  </si>
  <si>
    <t>78.12</t>
  </si>
  <si>
    <t>78.13</t>
  </si>
  <si>
    <t>78.14</t>
  </si>
  <si>
    <t>78.15</t>
  </si>
  <si>
    <t>86.1</t>
  </si>
  <si>
    <t>86.2</t>
  </si>
  <si>
    <t>88.1</t>
  </si>
  <si>
    <t>88.2</t>
  </si>
  <si>
    <t>90.2</t>
  </si>
  <si>
    <t>18.01.05U</t>
  </si>
  <si>
    <t>22.03.14U</t>
  </si>
  <si>
    <t>22.03.15U</t>
  </si>
  <si>
    <t>22.03.16U</t>
  </si>
  <si>
    <t>22.03.17U</t>
  </si>
  <si>
    <t>22.03.18U</t>
  </si>
  <si>
    <t>22.03.19U</t>
  </si>
  <si>
    <t>22.03.20U</t>
  </si>
  <si>
    <t>22.03.21U</t>
  </si>
  <si>
    <t>22.03.22U</t>
  </si>
  <si>
    <t>INTERLIGAÇÕES/CORDÃO DE SOLDA</t>
  </si>
  <si>
    <t>990267U</t>
  </si>
  <si>
    <t>TALHA MANUAL DE CORRENTE, CAPACIDADE DE 3 TON. COM ELEVAÇÃO DE 5 M</t>
  </si>
  <si>
    <t>ASSENTAMENTO DE CONEXÕES EM FERRO FUNDIDO</t>
  </si>
  <si>
    <t>26.01.11U</t>
  </si>
  <si>
    <t>030425U</t>
  </si>
  <si>
    <t>TELA DE ACO SOLDADA NERVURADA, CA-60, Q-246 (3,91 KG/M2), DIAMETRO DO FIO = 5,6 MM, LARGURA = 2,45 X 6,00 M DE COMPRIMENTO, ESPACAMENTO DA MALHA = 10 X 10 CM</t>
  </si>
  <si>
    <t>TELA DE ACO SOLDADA NERVURADA, CA-60, Q-503 (7,97 KG/M2), DIAMETRO DO FIO = 8,0 MM, LARGURA = 2,45 X 6,00 M DE COMPRIMENTO, ESPACAMENTO DA MALHA = 10 X 10 CM</t>
  </si>
  <si>
    <t>TELA DE ACO SOLDADA NERVURADA, CA-60, Q-636 (10,09 KG/M2), DIAMETRO DO FIO = 9,0 MM, LARGURA = 2,45 X 6,00 M DE COMPRIMENTO, ESPACAMENTO DA MALHA = 10 X 10 CM</t>
  </si>
  <si>
    <t>TELA DE ACO SOLDADA NERVURADA, CA-60, Q-396 (6,28 KG/M2), DIAMETRO DO FIO = 7,1 MM, LARGURA = 2,45 X 6,00 M DE COMPRIMENTO, ESPACAMENTO DA MALHA = 10 X 10 CM</t>
  </si>
  <si>
    <t>030426U</t>
  </si>
  <si>
    <t>030427U</t>
  </si>
  <si>
    <t>030428U</t>
  </si>
  <si>
    <t>26.01.12U</t>
  </si>
  <si>
    <t>26.01.13U</t>
  </si>
  <si>
    <t>26.01.14U</t>
  </si>
  <si>
    <t>26.01.15U</t>
  </si>
  <si>
    <t>26.01.16U</t>
  </si>
  <si>
    <t>26.01.17U</t>
  </si>
  <si>
    <t>26.01.18U</t>
  </si>
  <si>
    <t>26.01.19U</t>
  </si>
  <si>
    <t>26.01.20U</t>
  </si>
  <si>
    <t>26.01.21U</t>
  </si>
  <si>
    <t>26.01.22U</t>
  </si>
  <si>
    <t>26.05.13U</t>
  </si>
  <si>
    <t>26.05.14U</t>
  </si>
  <si>
    <t>26.05.15U</t>
  </si>
  <si>
    <t>26.05.16U</t>
  </si>
  <si>
    <t>26.05.17U</t>
  </si>
  <si>
    <t>26.05.18U</t>
  </si>
  <si>
    <t>26.05.19U</t>
  </si>
  <si>
    <t>26.05.20U</t>
  </si>
  <si>
    <t>26.05.21U</t>
  </si>
  <si>
    <t>26.05.22U</t>
  </si>
  <si>
    <t>26.05.23U</t>
  </si>
  <si>
    <t>26.05.24U</t>
  </si>
  <si>
    <t>26.05.25U</t>
  </si>
  <si>
    <t>26.05.26U</t>
  </si>
  <si>
    <t>26.05.27U</t>
  </si>
  <si>
    <t>26.05.28U</t>
  </si>
  <si>
    <t>26.05.29U</t>
  </si>
  <si>
    <t>26.05.30U</t>
  </si>
  <si>
    <t>26.05.31U</t>
  </si>
  <si>
    <t>26.05.32U</t>
  </si>
  <si>
    <t>26.06.25U</t>
  </si>
  <si>
    <t>26.06.26U</t>
  </si>
  <si>
    <t>26.06.27U</t>
  </si>
  <si>
    <t>26.06.28U</t>
  </si>
  <si>
    <t>26.06.29U</t>
  </si>
  <si>
    <t>26.06.30U</t>
  </si>
  <si>
    <t>26.06.31U</t>
  </si>
  <si>
    <t>26.06.32U</t>
  </si>
  <si>
    <t>26.06.33U</t>
  </si>
  <si>
    <t>26.06.34U</t>
  </si>
  <si>
    <t>26.06.35U</t>
  </si>
  <si>
    <t>26.06.36U</t>
  </si>
  <si>
    <t>26.07.33U</t>
  </si>
  <si>
    <t>26.07.34U</t>
  </si>
  <si>
    <t>26.07.35U</t>
  </si>
  <si>
    <t>73.6</t>
  </si>
  <si>
    <t>26.07.36U</t>
  </si>
  <si>
    <t>26.07.37U</t>
  </si>
  <si>
    <t>26.07.38U</t>
  </si>
  <si>
    <t>26.07.39U</t>
  </si>
  <si>
    <t>26.07.40U</t>
  </si>
  <si>
    <t>26.07.41U</t>
  </si>
  <si>
    <t>26.07.42U</t>
  </si>
  <si>
    <t>26.07.43U</t>
  </si>
  <si>
    <t>26.07.44U</t>
  </si>
  <si>
    <t>CONSTRUÇÃO DE CAIXA ENTERRADA EM CONCRETO PARA REGISTROS COM FLANGE</t>
  </si>
  <si>
    <t>CONSTRUÇÃO DE CAIXA ENTERRADA EM CONCRETO PARA VÁLVULAS</t>
  </si>
  <si>
    <t>73.7</t>
  </si>
  <si>
    <t>CONSTRUÇÃO DE CAIXA ENTERRADA EM CONCRETO PARA VENTOSAS</t>
  </si>
  <si>
    <t>73.10</t>
  </si>
  <si>
    <t>CONSTRUÇÃO DE CAIXA ENTERRADA EM CONCRETO PARA DESCARGAS</t>
  </si>
  <si>
    <t>73.11</t>
  </si>
  <si>
    <t>26.08.01U</t>
  </si>
  <si>
    <t>26.08.02U</t>
  </si>
  <si>
    <t>26.08.03U</t>
  </si>
  <si>
    <t>26.08.04U</t>
  </si>
  <si>
    <t>26.08.05U</t>
  </si>
  <si>
    <t>26.08.06U</t>
  </si>
  <si>
    <t>26.08.07U</t>
  </si>
  <si>
    <t>26.08.08U</t>
  </si>
  <si>
    <t>26.08.09U</t>
  </si>
  <si>
    <t>26.08.10U</t>
  </si>
  <si>
    <t>73.12</t>
  </si>
  <si>
    <t>CONSTRUÇÃO DE CAIXA ENTERRADA EM CONCRETO PARA MEDIDOR DE VAZÃO</t>
  </si>
  <si>
    <t>26.08.11U</t>
  </si>
  <si>
    <t>26.08.12U</t>
  </si>
  <si>
    <t>26.08.13U</t>
  </si>
  <si>
    <t>26.08.14U</t>
  </si>
  <si>
    <t>26.08.15U</t>
  </si>
  <si>
    <t>26.08.16U</t>
  </si>
  <si>
    <t>26.08.17U</t>
  </si>
  <si>
    <t>26.08.18U</t>
  </si>
  <si>
    <t>26.08.19U</t>
  </si>
  <si>
    <t>26.08.20U</t>
  </si>
  <si>
    <t>73.13</t>
  </si>
  <si>
    <t>26.09.01U</t>
  </si>
  <si>
    <t>26.09.02U</t>
  </si>
  <si>
    <t>26.09.03U</t>
  </si>
  <si>
    <t>26.09.04U</t>
  </si>
  <si>
    <t>73.14</t>
  </si>
  <si>
    <t>CONSTRUÇÃO DE CAIXA ENTERRADA EM CONCRETO PARA VÁLVULA REDUTORA DE PRESSÃO</t>
  </si>
  <si>
    <t>CONSTRUÇÃO DE CAIXA ENTERRADA EM ESTRUTURA MISTA DE ALVENARIA E CONCRETO PARA REGISTROS COM FLANGE</t>
  </si>
  <si>
    <t>CONSTRUÇÃO DE CAIXA ENTERRADA EM ESTRUTURA MISTA DE ALVENARIA E CONCRETO PARA VÁLVULAS</t>
  </si>
  <si>
    <t>CONSTRUÇÃO DE CAIXA ENTERRADA EM ESTRUTURA MISTA DE ALVENARIA E CONCRETO PARA VENTOSAS</t>
  </si>
  <si>
    <t>CONSTRUÇÃO DE CAIXA ENTERRADA EM ESTRUTURA MISTA DE ALVENARIA E CONCRETO PARA DESCARGAS</t>
  </si>
  <si>
    <t>CONSTRUÇÃO DE CAIXA ENTERRADA EM ESTRUTURA MISTA DE ALVENARIA E CONCRETO PARA MEDIDOR DE VAZÃO</t>
  </si>
  <si>
    <t>EPC PARA LIMPEZA DE RESERVATÓRIO</t>
  </si>
  <si>
    <t>PREÇO UNIT</t>
  </si>
  <si>
    <t>p.total</t>
  </si>
  <si>
    <t>Média da área do reservatório</t>
  </si>
  <si>
    <t>VALOR POR m²</t>
  </si>
  <si>
    <t>QNTD.</t>
  </si>
  <si>
    <t>P. UNIT. M²</t>
  </si>
  <si>
    <t>P.UNIT. POR HORA/M²</t>
  </si>
  <si>
    <t>Andaime (ferro)
(LOCACAO DE ANDAIME METALICO TIPO FACHADEIRO, LARGURA DE 1,20 M, ALTURA POR PECA DE 2,0 M, INCLUINDO SAPATAS E ITENS NECESSARIOS A INSTALACAO)</t>
  </si>
  <si>
    <t>M²/MÊS</t>
  </si>
  <si>
    <t>RETIRADA DE MATERIAIS ELÉTRICOS</t>
  </si>
  <si>
    <t>CORDÃO DE SOLDA COM CORTE DE TUBO EM FERRO DÚCTIL</t>
  </si>
  <si>
    <t>67.3</t>
  </si>
  <si>
    <t>76.1</t>
  </si>
  <si>
    <t>IMPLANTAÇÃO DE PONTOS GEODÉSICOS</t>
  </si>
  <si>
    <t>76.2</t>
  </si>
  <si>
    <t>LOCAÇÃO  E LEVANTAMENTOS CADASTRAIS</t>
  </si>
  <si>
    <t>CONSTRUÇÃO DE CAIXA ENTERRADA EM ESTRUTURA MISTA DE ALVENARIA E CONCRETO PARA VÁLVULA REDUTORA DE PRESSÃO</t>
  </si>
  <si>
    <t>CHP ANALÍTICA</t>
  </si>
  <si>
    <t>VAN COM COMBUSTIVEL, MANUTENÇÃO E SEGURO</t>
  </si>
  <si>
    <t>CAMINHONETE DE CARGA 1,2 T (PICK-UP 4X4 DIESEL) COM COMBUSTIVEL, MANUTENÇÃO E SEGURO</t>
  </si>
  <si>
    <t>E9552</t>
  </si>
  <si>
    <t>E9670</t>
  </si>
  <si>
    <t>E9553</t>
  </si>
  <si>
    <t>E9558</t>
  </si>
  <si>
    <t>26.04.03U</t>
  </si>
  <si>
    <t>26.04.04U</t>
  </si>
  <si>
    <t>CAESB</t>
  </si>
  <si>
    <t>E9669</t>
  </si>
  <si>
    <t>E9018</t>
  </si>
  <si>
    <t>E9075</t>
  </si>
  <si>
    <t>ADESIVO REFLEXIVO</t>
  </si>
  <si>
    <t>CAPACETE</t>
  </si>
  <si>
    <t>M1337</t>
  </si>
  <si>
    <t>02.01.06U</t>
  </si>
  <si>
    <t>02.01.07U</t>
  </si>
  <si>
    <t>02.01.08U</t>
  </si>
  <si>
    <t>02.01.09U</t>
  </si>
  <si>
    <t>MOBILIZACAO,DESMOBILIZACAO E MONTAGEM DE CONJUNTO PARA REBAIXAMENTO DE LENÇOL FREÁTICO</t>
  </si>
  <si>
    <t>ESPOLETA SIMPLES N 8.</t>
  </si>
  <si>
    <t>RETARDO DE CORDEL</t>
  </si>
  <si>
    <t>M2025</t>
  </si>
  <si>
    <t>10.15.01U</t>
  </si>
  <si>
    <t>59.01.03U</t>
  </si>
  <si>
    <t>59.01.04U</t>
  </si>
  <si>
    <t>59.01.05U</t>
  </si>
  <si>
    <t>59.01.06U</t>
  </si>
  <si>
    <t>59.01.07U</t>
  </si>
  <si>
    <t>59.01.08U</t>
  </si>
  <si>
    <t>59.01.09U</t>
  </si>
  <si>
    <t>59.01.10U</t>
  </si>
  <si>
    <t>59.01.11U</t>
  </si>
  <si>
    <t>27.03.02U</t>
  </si>
  <si>
    <t>28.01.02U</t>
  </si>
  <si>
    <t>28.01.03U</t>
  </si>
  <si>
    <t>28.01.04U</t>
  </si>
  <si>
    <t>28.01.06U</t>
  </si>
  <si>
    <t>28.01.01U</t>
  </si>
  <si>
    <t>28.02.02U</t>
  </si>
  <si>
    <t>28.02.03U</t>
  </si>
  <si>
    <t>28.02.04U</t>
  </si>
  <si>
    <t>29.01.01U</t>
  </si>
  <si>
    <t>29.01.02U</t>
  </si>
  <si>
    <t>29.01.03U</t>
  </si>
  <si>
    <t>29.02.01U</t>
  </si>
  <si>
    <t>29.02.02U</t>
  </si>
  <si>
    <t>33.05.01U</t>
  </si>
  <si>
    <t>30.02.01U</t>
  </si>
  <si>
    <t>30.02.02U</t>
  </si>
  <si>
    <t>30.02.04U</t>
  </si>
  <si>
    <t>30.02.05U</t>
  </si>
  <si>
    <t>31.01.05U</t>
  </si>
  <si>
    <t>31.08.01U</t>
  </si>
  <si>
    <t>31.08.02U</t>
  </si>
  <si>
    <t>31.08.03U</t>
  </si>
  <si>
    <t>31.08.04U</t>
  </si>
  <si>
    <t>31.08.09U</t>
  </si>
  <si>
    <t>32.01.01U</t>
  </si>
  <si>
    <t>32.01.02U</t>
  </si>
  <si>
    <t>32.02.01U</t>
  </si>
  <si>
    <t>32.02.02U</t>
  </si>
  <si>
    <t>32.02.06U</t>
  </si>
  <si>
    <t>32.03.01U</t>
  </si>
  <si>
    <t>32.03.02U</t>
  </si>
  <si>
    <t>32.03.03U</t>
  </si>
  <si>
    <t>32.04.01U</t>
  </si>
  <si>
    <t>36.01.01U</t>
  </si>
  <si>
    <t>36.01.02U</t>
  </si>
  <si>
    <t>38.01.01U</t>
  </si>
  <si>
    <t>38.01.02U</t>
  </si>
  <si>
    <t>38.01.03U</t>
  </si>
  <si>
    <t>38.01.04U</t>
  </si>
  <si>
    <t>38.01.05U</t>
  </si>
  <si>
    <t>50.01.04U</t>
  </si>
  <si>
    <t>50.01.05U</t>
  </si>
  <si>
    <t>50.01.06U</t>
  </si>
  <si>
    <t>50.01.07U</t>
  </si>
  <si>
    <t>50.01.08U</t>
  </si>
  <si>
    <t>171703U</t>
  </si>
  <si>
    <t>JANELA DE MADEIRA REGIONAL, DE ABRIR OU DE CORRER SEM VENEZIANA</t>
  </si>
  <si>
    <t>ASSENTAMENTO DE TUBO EM PVC OU PRFV OU RPVC OU CPRFV</t>
  </si>
  <si>
    <t>22.04.36U</t>
  </si>
  <si>
    <t>11.02.05U</t>
  </si>
  <si>
    <t>11.02.07U</t>
  </si>
  <si>
    <t>20.04.13U</t>
  </si>
  <si>
    <t>20.04.14U</t>
  </si>
  <si>
    <t>010127U</t>
  </si>
  <si>
    <t>PEDRA BRITADA N. 1 (9,5 a 19 MM), POSTO OBRA</t>
  </si>
  <si>
    <t xml:space="preserve">ARP 196/21 + INCC </t>
  </si>
  <si>
    <t>990268U</t>
  </si>
  <si>
    <t>LOCACAO DE CONJUNTO PARA REBAIXAMENTO DE LENCOL FREATICO, INCLUINDO MOTORES DE 7,5 CV 380 V COM 30 M DE COLETORES E 30 PONTEIRAS (VAZÃO NOMINAL DE  85 M3/H)</t>
  </si>
  <si>
    <t>PERFIL TUBO DE AÇO METALON 0,2X0,2X1,00*</t>
  </si>
  <si>
    <t>990269U</t>
  </si>
  <si>
    <t>990270U</t>
  </si>
  <si>
    <t>GRUPO GERADOR ESTACIONÁRIO, POTÊNCIA 55 KVA, MOTOR A DIESEL, PARA ATENDIMENTO A DEMANDA DO EQUIPAMENTO DE REBAIXAMENTO DE LENÇOL FREÁTICO COM PONTEIRAS (DIÁRIA)</t>
  </si>
  <si>
    <t>GRUPO GERADOR ESTACIONÁRIO, POTÊNCIA 110 KVA, MOTOR A DIESEL, PARA ATENDIMENTO A DEMANDA DO EQUIPAMENTO DE REBAIXAMENTO DE LENÇOL FREÁTICO COM PONTEIRAS (DIÁRIA)</t>
  </si>
  <si>
    <t>LOCACAO DE CONJUNTO PARA REBAIXAMENTO DE LENCOL FREATICO, INCLUINDO  MOTORES DE 20 CV 380V COM 40 M DE COLETORES E 40 PONTEIRAS (VAZÃO NOMINAL DE 260 M3/H)</t>
  </si>
  <si>
    <t>MAQUINA PARA SOLDAGEM DE TUBOS PLASTICOS POR TERMOFUSAO DE 710 A 1200 MM DE DIAMETRO - SEM OPERADOR</t>
  </si>
  <si>
    <t>CAVALO MECANICO TRACAO 6X2, PESO BRUTO TOTAL COMBINADO 56000 KG, CAPACIDADE MAXIMA DE TRACAO *66000* KG, POTENCIA *360* CV, INCLUSIVE SEMIRREBOQUE COM TRES EIXOS, PARA TRANSPORTE DE CARGA SECA, DIMENSOES APROXIMADAS 2,60 X 12,50 X 0,50 M</t>
  </si>
  <si>
    <t>CAVALO MECANICO TRACAO 6X2, PESO BRUTO TOTAL COMBINADO 56000 KG, CAPACIDADE MAXIMA DE TRACAO *66000* KG, POTENCIA *360* CV (INCLUI CABINE E CHASSI, NAO INCLUI SEMIRREBOQUE) - AQUISIÇÃO</t>
  </si>
  <si>
    <t>SEMIRREBOQUE COM TRES EIXOS, PARA TRANSPORTE DE CARGA SECA, DIMENSOES APROXIMADAS 2,60 X 12,50 X 0,50 M (NAO INCLUI CAVALO MECANICO) - AQUISIÇÃO</t>
  </si>
  <si>
    <t>990271U</t>
  </si>
  <si>
    <t>990271U-A</t>
  </si>
  <si>
    <t>990271U-B</t>
  </si>
  <si>
    <t>626261_2022</t>
  </si>
  <si>
    <t>23.02.01U</t>
  </si>
  <si>
    <t>23.02.02U</t>
  </si>
  <si>
    <t>23.02.03U</t>
  </si>
  <si>
    <t>23.02.04U</t>
  </si>
  <si>
    <t>23.02.05U</t>
  </si>
  <si>
    <t>23.02.06U</t>
  </si>
  <si>
    <t>23.02.07U</t>
  </si>
  <si>
    <t>23.02.08U</t>
  </si>
  <si>
    <t>23.02.09U</t>
  </si>
  <si>
    <t>23.02.10U</t>
  </si>
  <si>
    <t>23.02.11U</t>
  </si>
  <si>
    <t>23.02.12U</t>
  </si>
  <si>
    <t>23.02.13U</t>
  </si>
  <si>
    <t>23.02.14U</t>
  </si>
  <si>
    <t>23.02.15U</t>
  </si>
  <si>
    <t>23.02.16U</t>
  </si>
  <si>
    <t>23.02.17U</t>
  </si>
  <si>
    <t>23.02.18U</t>
  </si>
  <si>
    <t>23.02.19U</t>
  </si>
  <si>
    <t>23.02.20U</t>
  </si>
  <si>
    <t>23.02.21U</t>
  </si>
  <si>
    <t>23.02.22U</t>
  </si>
  <si>
    <t>13.03.46U</t>
  </si>
  <si>
    <t>990272U</t>
  </si>
  <si>
    <t>BOMBA DE CONCRETO REBOCÁVEL COM CAPACIDADE DE 41 M³/H - 74 KW</t>
  </si>
  <si>
    <t>E9086</t>
  </si>
  <si>
    <t>13.01.12U</t>
  </si>
  <si>
    <t>13.01.13U</t>
  </si>
  <si>
    <t>03.01.29U</t>
  </si>
  <si>
    <t>990273U</t>
  </si>
  <si>
    <t>TARTARUGA DE OXICORTE CG1, MONOFÁSICA, 220 V,
FREQUÊNCIA 50 HZ, VELOCIDADE DE CORTE (MM/MIN)
50 A 750, DIÂMETRO MÍNIMO DO COMPASSO MM 200</t>
  </si>
  <si>
    <t>990274U</t>
  </si>
  <si>
    <t>200608U</t>
  </si>
  <si>
    <t>LÍQUIDO PENETRANTE VISÍVEL VP30 PARA METAL 230 GR</t>
  </si>
  <si>
    <t>200609U</t>
  </si>
  <si>
    <t>LÍQUIDO REVELADOR DE TRINCAS D70 NÃO AQUOSO 230 GR</t>
  </si>
  <si>
    <t>990275U</t>
  </si>
  <si>
    <t>E9144</t>
  </si>
  <si>
    <t>PÓRTICO METÁLICO ROLANTE COM TALHA COM CAPACIDADE DE 5 T - 10 KW</t>
  </si>
  <si>
    <t>03.01.30U</t>
  </si>
  <si>
    <t>03.01.31U</t>
  </si>
  <si>
    <t>03.01.32U</t>
  </si>
  <si>
    <t>03.01.33U</t>
  </si>
  <si>
    <t>03.01.34U</t>
  </si>
  <si>
    <t>FURADEIRA ELETROMAGNÉTICA, VELOCIDADE  (SEM CARGA /COM CARGA): 450 / 270 RPM, ESPESSURA MÁXIMA DA CHAPA A SER FURADA 50 MM, FORÇA DE ADESÃO MAGNÉTICA 17000 N, POTÊNCIA 1100 W, ALIMENTAÇÃO 220 - 60 HZ, MONOFÁSICA</t>
  </si>
  <si>
    <t>990276U</t>
  </si>
  <si>
    <t>E9064</t>
  </si>
  <si>
    <t>TRANSPORTADOR MANUAL GERICA COM CAPACIDADE DE 180 L</t>
  </si>
  <si>
    <t>13.03.49U</t>
  </si>
  <si>
    <t>INSPEÇÃO DE SOLDA/REVESTIMENTO COM EQUIPAMENTO DE ULTRASSOM/HOLIDAY</t>
  </si>
  <si>
    <t>E019300283</t>
  </si>
  <si>
    <t>EMBASA</t>
  </si>
  <si>
    <t>980500U</t>
  </si>
  <si>
    <t>22.04.12U</t>
  </si>
  <si>
    <t>33.02.05U</t>
  </si>
  <si>
    <t>990277U</t>
  </si>
  <si>
    <t>PERFURATRIZ HIDRÁULICA SOBRE ESTEIRAS - 283 KW</t>
  </si>
  <si>
    <t>E9516</t>
  </si>
  <si>
    <t>MATERIAL ARGILO ARENOSO PARA ATERRO, POSTO OBRA</t>
  </si>
  <si>
    <t>010209U</t>
  </si>
  <si>
    <t>02.02.12U</t>
  </si>
  <si>
    <t>02.02.13U</t>
  </si>
  <si>
    <t>02.02.14U</t>
  </si>
  <si>
    <t>02.02.15U</t>
  </si>
  <si>
    <t xml:space="preserve"> Companhia Pernambucana de Saneamento – COMPESA</t>
  </si>
  <si>
    <t>SINAPI JULHO-2022, DNIT CONSULTORIA ABRIL 2022</t>
  </si>
  <si>
    <t>Revisão</t>
  </si>
  <si>
    <t>SONDAGEM A PERCUSSÃO SPT, INCLUSIVE LAUDO (PROFUNDIDADE MÍNIMA DE 8,00 M, POR FURO).</t>
  </si>
  <si>
    <t>FORNECIMENTO E FIXAÇÃO DE PLACA DA OBRA EM CHAPA GALVANIZADA Nº 16, CONFORME PADRÃO FORNECIDO PELA COMPESA.</t>
  </si>
  <si>
    <t>SINALIZAÇÃO ABERTA SEM ILUMINAÇÃO, COM CAVALETES EM POLIETILENO SEMIFLEXIVEL E DESMONTÁVEL, PREENCHIDO COM AREIA E ADESIVADO COM FITA REFLETIVA, CONFORME PADRÃO COMPESA (NTC-108)</t>
  </si>
  <si>
    <t>PLACA DE SINALIZAÇÃO E ADVERTÊNCIA EM CHAPA DE AÇO GALVANIZADA Nº 16 DE ACORDO COM PADRÃO COMPESA  / NTC-108 (FORNECIMENTO E FIXAÇÃO)</t>
  </si>
  <si>
    <t>ISOLAMENTO DE OBRA COM FITA DE SINALIZAÇÃO (ZEBRADA) E CONE DE SINALIZAÇÃO A CADA 2M, PADRÃO COMPESA / NTC - 108</t>
  </si>
  <si>
    <t>ISOLAMENTO DE OBRA COM FITA DE SINALIZAÇÃO (ZEBRADA) E BALIZADOR MÓVEL DE SINALIZAÇÃO A CADA 2M, PADRÃO COMPESA / NTC - 108</t>
  </si>
  <si>
    <t>TELA TAPUME, COR LARANJA, COM SUPORTE A CADA 2M, DE ACORDO COM PADRÃO COMPESA / NTC - 108 (FORNECIMENTO E INSTALAÇÃO)</t>
  </si>
  <si>
    <t>CONE FLEXIVEL PARA INTERDIÇÃO DE TRÁFEGO, PADRÃO COMPESA / NTC - 108</t>
  </si>
  <si>
    <t>BALIZADOR MÓVEL PARA INTERDIÇÃO DE TRÁFEGO, PADRÃO COMPESA / NTC - 108</t>
  </si>
  <si>
    <t>CILINDRO CANALIZADOR DE TRÁFEGO, PADRÃO COMPESA / NTC - 108</t>
  </si>
  <si>
    <t>SINALIZADOR ELETRÔNICO, PADRÃO COMPESA / NTC - 108</t>
  </si>
  <si>
    <t>PASSARELA, EM MADEIRA, PARA COBERTA DE VALAS PARA PASSAGEM DE VEÍCULOS.</t>
  </si>
  <si>
    <t>PASSARELA, EM MADEIRA, PARA COBERTA DE VALAS PARA PASSAGEM DE PEDESTRES.</t>
  </si>
  <si>
    <t>PASSADIÇO EM CHAPA DE ACO CARBONO 3/8 (COLOCÃO/ USO/ REMOÇÃO) P/ PASSAGEM DE VEICULO SOBRE VALA MEDIDA POR AREA CHAPA EM CADA APLICACAO</t>
  </si>
  <si>
    <t>LOCAÇÃO E NIVELAMENTO DE VALAS PARA COLETOR COM USO DE EQUIPAMENTOS TOPÓGRÁFICOS.</t>
  </si>
  <si>
    <t>LOCAÇÃO COM CAL DE VALAS PARA REDE DE DISTRIBUIÇÃO, ADUTORA OU OUTRAS ESTRUTURAS LINEARES EM  ÁREA URBANA.</t>
  </si>
  <si>
    <t>LOCAÇÃO DA OBRA ( COM USO DE GABARITO DE MADEIRA COM APROVEITAMENTO DE 3 VEZES ).</t>
  </si>
  <si>
    <t>LOCAÇÃO DA OBRA COM AUXÍLIO TOPOGRÁFICO (ÁREA ATÉ 5000M2)</t>
  </si>
  <si>
    <t>LOCAÇÃO DA OBRA COM AUXÍLIO TOPOGRÁFICO (ÁREA ACIMA DE 5000M2)</t>
  </si>
  <si>
    <t>ENSAIO DE PENETRAÇÃO - MATERIAL BETUMINOSO</t>
  </si>
  <si>
    <t>ENSAIO DE VISCOSIDADE SAYBOLT - FUROL - MATERIAL BETUMINOSO</t>
  </si>
  <si>
    <t>ENSAIO DE DETERMINAÇÃO DA PENEIRAÇÃO - EMULSÃO ASFÁLTICA</t>
  </si>
  <si>
    <t>ENSAIO DE DETERMINAÇÃO DA SEDIMENTAÇÃO - EMULSÃO ASFÁLTICA</t>
  </si>
  <si>
    <t>ENSAIO DE DETERMINAÇÃO DO TEOR DE BETUME - CIMENTO ASFÁLTICO DE PETRÓLEO</t>
  </si>
  <si>
    <t>ENSAIO DE GRANULOMETRIA POR PENEIRAMENTO - SOLOS</t>
  </si>
  <si>
    <t>ENSAIO DE GRANULOMETRIA POR PENEIRAMENTO E SEDIMENTAÇÃO - SOLOS</t>
  </si>
  <si>
    <t>ENSAIO DE LIMITE DE PLASTICIDADE - SOLOS</t>
  </si>
  <si>
    <t>ENSAIO DE LIMITE DE LIQUIDEZ - SOLOS</t>
  </si>
  <si>
    <t>ENSAIO DE MASSA ESPECÍFICA - IN SITU - MÉTODO FRASCO DE AREIA - SOLOS</t>
  </si>
  <si>
    <t>ENSAIO DE MASSA ESPECÍFICA - IN SITU - MÉTODO BALÃO DE BORRACHA - SOLOS</t>
  </si>
  <si>
    <t>ENSAIO DE DENSIDADE REAL - SOLOS</t>
  </si>
  <si>
    <t>ENSAIO DE ABRASÃO LOS ANGELES - AGREGADOS</t>
  </si>
  <si>
    <t>ENSAIO MARSHALL - MISTURA BETUMINOSA A QUENTE</t>
  </si>
  <si>
    <t>ENSAIO DE DETERMINAÇÃO DO ÍNDICE DE FORMA - AGREGADOS</t>
  </si>
  <si>
    <t>ENSAIO DE EQUIVALENTE EM AREIA - SOLOS</t>
  </si>
  <si>
    <t>ENSAIO DE MOLDAGEM E CURA DE SOLO CIMENTO</t>
  </si>
  <si>
    <t>ENSAIO DE COMPRESSÃO AXIAL DE SOLO CIMENTO</t>
  </si>
  <si>
    <t>ENSAIO DE RESISTENCIA A COMPRESSÃO SIMPLES - CONCRETO</t>
  </si>
  <si>
    <t>ENSAIO DE RESISTENCIA A TRACAO POR COMPRESSAO DIAMETRAL - CONCRETO</t>
  </si>
  <si>
    <t>ENSAIO DE RESISTENCIA A TRACAO NA FLEXAO DE CONCRETO</t>
  </si>
  <si>
    <t>ENSAIO DE ABATIMENTO DO TRONCO DE CONE</t>
  </si>
  <si>
    <t>MOBILIZACAO E DESMOBILIZACAO DE EQUIPAMENTOS - TRANSPORTE</t>
  </si>
  <si>
    <t xml:space="preserve">MOBILIZACAO E DESMOBILIZACAO DE EQUIPAMENTOS - CARGA E DESCARGA </t>
  </si>
  <si>
    <t>ALUGUEL CONTAINER/ESCRITÓRIO INCLUSIVE INSTALAÇÕES ELÉTRICAS LARG=2,20 COMP=6,20M  ALT=2,50M EM CHAPA ACO COM NERVURAS TRAPEZ. FORRO COM ISOLAMENTO TERMO/ACUSTICO CHASSIS REFORCADO PISO COMPENSADO NAVAL EXCLUSO TRANSP/CARGA/DESCARGA</t>
  </si>
  <si>
    <t>CONCRETO NÃO  ESTRUTURAL, PREPARO E LANÇAMENTO</t>
  </si>
  <si>
    <t>CANTEIRO ITINERANTE COMPOSTO DE TOLDO, CONJUNTO DE MESA E CADEIRAS E BANHEIRO QUÍMICO COM LIMPEZA DIÁRIA INCLUSO COLETA E DESTINAÇÃO FINAL DE EFLUENTES</t>
  </si>
  <si>
    <t xml:space="preserve">LOCAÇÃO DE BANHEIRO QUÍMICO COM LIMPEZA DIÁRIA INCLUSO COLETA E DESTINAÇÃO FINAL DE EFLUENTES </t>
  </si>
  <si>
    <t>ESCAVAÇÃO MANUAL DE VALAS EM MATERIAL DE 1ª E/OU 2ª CATEGORIAS ATÉ 1,50 M DE PROFUNDIDADE</t>
  </si>
  <si>
    <t>ESCAVAÇÃO MANUAL DE VALAS EM MATERIAL DE 1ª E/OU 2ª CATEGORIAS ACIMA DE 1,50 M E ATÉ 3,00 M DE PROFUNDIDADE</t>
  </si>
  <si>
    <t>ESCAVAÇÃO MANUAL DE VALAS EM MATERIAL DE 1ª E/OU 2ª CATEGORIAS ACIMA DE 3,00 M E ATÉ 4,50 M DE PROFUNDIDADE</t>
  </si>
  <si>
    <t>ESCAVAÇÃO MANUAL DE VALAS EM MATERIAL DE 1ª E/OU 2ª CATEGORIAS ACIMA DE 4,50 M E ATÉ 6,00 M DE PROFUNDIDADE</t>
  </si>
  <si>
    <t>ESCAVAÇÃO EM MATERIAL DE 3ª CATEGORIA (ROCHA), COM ROMPEDOR ACOPLADO EM ESCAVADEIRA HIDRÁULICA, INCLUSIVE REMOÇÃO DE MATERIAL DA VALA COM ESCAVADEIRA HIDRÁULICA</t>
  </si>
  <si>
    <t>ESCAVAÇÃO DE MATERIAL DE 3ª CATEGORIA (ROCHA) EM CAMPO ABERTO, COM USO DE EMULSÃO EXPLOSIVA ENCARTUCHADA, INCLUSIVE ABAFAMENTO E REMOÇÃO DE MATERIAL DA VALA COM ESCAVADEIRA HIDRÁULICA</t>
  </si>
  <si>
    <t>ESCAVAÇÃO DE MATERIAL DE 3ª CATEGORIA (ROCHA) EM VALA, COM USO DE EMULSÃO EXPLOSIVA ENCARTUCHADA,  INCLUSIVE ABAFAMENTO E REMOÇÃO DE MATERIAL DA VALA COM ESCAVADEIRA HIDRÁULICA</t>
  </si>
  <si>
    <t>ESCAVAÇÃO DE MATERIAL DE 3ª CATEGORIA (ROCHA) EM VALA, COM MARTELETE PNEUMÁTICO MANUAL, INCLUSIVE REMOÇÃO DE MATERIAL DA VALA COM ESCAVADEIRA HIDRÁULICA</t>
  </si>
  <si>
    <t>ESCAVAÇÃO MECANIZADA EM CAMPO ABERTO EM MATERIAL DE 1ª E/OU 2ª CATEGORIAS ATÉ 2,00 M DE PROFUNDIDADE.</t>
  </si>
  <si>
    <t>ESCAVAÇÃO MECANIZADA EM CAMPO ABERTO EM MATERIAL DE 1ª E/OU 2ª CATEGORIAS ACIMA DE 2,00 M E ATÉ 4,00 M DE PROFUNDIDADE.</t>
  </si>
  <si>
    <t>ESCAVAÇÃO MECANIZADA EM CAMPO ABERTO EM MATERIAL DE 1ª E/OU 2ª CATEGORIAS ACIMA DE 4,00 M E ATÉ 6,00 M DE PROFUNDIDADE.</t>
  </si>
  <si>
    <t>REGULARIZAÇÃO MANUAL DE FUNDO DE VALAS 0,15 M COM MATERIAL PROVENIENTE DA ESCAVAÇÃO, ( PARA ASSENTAMENTO DE TUBULAÇÃO ).</t>
  </si>
  <si>
    <t>REMOÇÃO DO MATERIAL ESCAVADO EM CAMINHÃO BASCULANTE, ATÉ 1,0 KM, INCLUSIVE CARGA MANUAL E DESCARGA ( MEDIDO NO CORTE ).</t>
  </si>
  <si>
    <t>REMOÇÃO DO MATERIAL ESCAVADO EM CAMINHÃO BASCULANTE, ATÉ 1,0 KM, INCLUSIVE CARGA MECÂNICA E DESCARGA ( MEDIDO NO CORTE ).</t>
  </si>
  <si>
    <t>REMOÇÃO DE ENTULHO EM CAMINHÃO BASCULANTE, ATÉ 1,0 KM, INCLUSIVE CARGA MANUAL E DESCARGA.</t>
  </si>
  <si>
    <t>REMOÇÃO DE ENTULHO EM CAMINHÃO BASCULANTE, ATÉ 1,0 KM, INCLUSIVE CARGA MECANIZADA E DESCARGA.</t>
  </si>
  <si>
    <t>REATERRO APILOADO EM CAMADAS DE 0,20 M COM APROVEITAMENTO DO MATERIAL ESCAVADO.</t>
  </si>
  <si>
    <t>COMPACTAÇÃO MECÂNICA PESADA DE ATERRO A 100 POR CENTO DO PRÓCTOR NORMAL, MEDIDO NA SEÇÃO, INCLUSIVE ESPALHAMENTO, UMEDECIMENTO E HOMOGENEIZAÇÃO.</t>
  </si>
  <si>
    <t>COMPACTAÇÃO MECÂNICA LEVE EM CAMADAS DE 0,20 M DE ESPESSURA.</t>
  </si>
  <si>
    <t>ESPALHAMENTO MANUAL DE MATERIAL PARA SIMPLES REGULARIZAÇÃO DO TERRENO.</t>
  </si>
  <si>
    <t>TOMBAMENTO MECÂNICO DE ÁRVORES COM DIÂMETRO DE 0,15M A 0,30M, INCLUSIVE O DESTOCAMENTO E LIMPEZA DO LOCAL.</t>
  </si>
  <si>
    <t>TOMBAMENTO MECÂNICO DE ÁRVORES COM DIÂMETRO MAIOR QUE 0,30M, INCLUSIVE O DESTOCAMENTO E LIMPEZA DO LOCAL</t>
  </si>
  <si>
    <t>REMOÇÃO DE CERCA (SEM REAPROVEITAMENTO)</t>
  </si>
  <si>
    <t>REGULARIZAÇÃO MANUAL DE TALUDE COM CORTE OU ATERRO ATÉ 20 CM DE ESPESSURA.</t>
  </si>
  <si>
    <t>CONSTRUÇÃO E MANUTENÇÃO DE CAMINHO DE SERVIÇO COM 4,0 M DE LARGURA, INCLUSIVE CANALETAS DE DRENAGEM A CÉU ABERTO NA SUA EXTENSÃO.</t>
  </si>
  <si>
    <t>MOMENTO DE TRANSPORTE COM EQUIPAMENTO DE LIMPEZA A SUCCAO, EM ESTRADA PAVIMENTADA</t>
  </si>
  <si>
    <t>ESCORAMENTO DE VALA, TIPO BLINDADO, COM PROFUNDIDADE DE 0 A 1,5 M, LARGURA MENOR QUE 1,5 M, FORNECIMENTO E EXECUÇÃO</t>
  </si>
  <si>
    <t>ESCORAMENTO DE VALA, TIPO BLINDADO, COM PROFUNDIDADE DE 0 A 1,5 M, LARGURA MAIOR OU IGUAL A 1,5 M E MENOR QUE 2,5 M, FORNECIMENTO E EXECUÇÃO</t>
  </si>
  <si>
    <t>ESCORAMENTO DE VALA, TIPO BLINDADO, COM PROFUNDIDADE DE 1,5 A 3,0 M, LARGURA MENOR QUE 1,5 M,  FORNECIMENTO E EXECUÇÃO</t>
  </si>
  <si>
    <t>ESCORAMENTO DE VALA, TIPO BLINDADO, COM PROFUNDIDADE DE 1,5 A 3,0 M, LARGURA MAIOR OU IGUAL A 1,5 M E MENOR QUE 2,50, FORNECIMENTO E EXECUÇÃO</t>
  </si>
  <si>
    <t>ESCORAMENTO DE VALA, TIPO BLINDADO, COM PROFUNDIDADE DE 3,0 A 4,5 M, LARGURA MENOR QUE 1,5 M,  FORNECIMENTO E EXECUÇÃO</t>
  </si>
  <si>
    <t>ESCORAMENTO DE VALA, TIPO BLINDADO, COM PROFUNDIDADE DE 3,0 A 4,5 M, LARGURA MAIOR OU IGUAL A 1,5 M E MENOR QUE 2,5 M,  FORNECIMENTO E EXECUÇÃO</t>
  </si>
  <si>
    <t>ENSECADEIRA DE MADEIRA COM PAREDE SIMPLES.</t>
  </si>
  <si>
    <t>ENSECADEIRA DE MADEIRA COM PAREDE DUPLA.</t>
  </si>
  <si>
    <t xml:space="preserve">ENROCAMENTO MANUAL DE PEDRA, SEM ARRUMAÇÃO, INCLUSIVE FORNECIMENTO COMERCIAL DO MATERIAL </t>
  </si>
  <si>
    <t>ENROCAMENTO MANUAL DE PEDRA, COM ARRUMAÇÃO, INCLUSIVE FORNECIMENTO COMERCIAL DO MATERIAL</t>
  </si>
  <si>
    <t>ESGOTAMENTO COM MOTOBOMBA AUTOESCOVANTE, MOTOR A GASOLINA DE 6,41HP</t>
  </si>
  <si>
    <t>COMPOSIÇÃO REPRESENTATIVA CORTE, DOBRA E COLOCAÇÃO DE AÇO CA-50/60</t>
  </si>
  <si>
    <t>PASSEIO EM LAJOTA DE CONCRETO 50 CM X 50 CM, APLICADO SOBRE LASTRO DE CONCRETO NO TRAÇO 1:4:8 (ESPESSURA = 5 CM), INCLUSIVE EXECUÇÃO DO LASTRO.</t>
  </si>
  <si>
    <t xml:space="preserve">PASSEIO EM LAJOTA DE CONCRETO 50 CM X 50 CM, APLICADO SOBRE LASTRO DE CONCRETO JÁ PRONTO. </t>
  </si>
  <si>
    <t>PINTURA ASFÁLTICA COM APLICAÇÃO MANUAL, EMULSÃO CATIÔNICA RR-1C, TAXA DE 0,5 L/M2.</t>
  </si>
  <si>
    <t>PAVIMENTO EM CONCRETO DE CIMENTO PORTLAND DE FCK 35 MPA, PARA RECONSTRUCAO DE PLACAS. INCLUSIVE COLCHAO DE AREIA (5 CM), CURA E PREENCHIMENTO DE JUNTAS C/ SELANTE A BASE DE ASFALTO.</t>
  </si>
  <si>
    <t>REPOSIÇÃO DE MEIO-FIO EM PEDRA GRANÍTICA, REJUNTADO COM ARGAMASSA DE CIMENTO E AREIA TRAÇO 1:3.  (EXCLUSO O MEIO-FIO)</t>
  </si>
  <si>
    <t>REPOSIÇÃO DE PASSEIO EM PEDRA PORTUGUESA SOBRE ARGAMASSA DE CIMENTO E AREIA NO TRAÇO 1:6 COM 5 CM DE ESPESSURA (FAROFA), REJUNTADO COM ARGAMASSA DE CIMENTO E AREIA NO TRAÇO 1:3. (EXCLUSO A PEDRA PORTUGUESA)</t>
  </si>
  <si>
    <t>DEMOLIÇÃO DE ALVENARIA DE PEDRA REJUNTADA.</t>
  </si>
  <si>
    <t>RETIRADA CUIDADOSA DE AZULEJOS/LADRILHOS E ARGAMASSA DE ASSENTAMENTO.</t>
  </si>
  <si>
    <t>DEMOLIÇÃO DE REVESTIMENTO EM LAMBRIS.</t>
  </si>
  <si>
    <t xml:space="preserve">DEMOLIÇÃO MANUAL DE CONCRETO SIMPLES. </t>
  </si>
  <si>
    <t xml:space="preserve">DEMOLIÇÃO MANUAL DE CONCRETO ARMADO. </t>
  </si>
  <si>
    <t>DEMOLIÇÃO DE CONCRETO ARMADO COM UTILIZAÇÃO DE MARTELETE PNEUMÁTICO.</t>
  </si>
  <si>
    <t>DEMOLIÇÃO DE CONCRETO SIMPLES COM UTILIZAÇÃO DE MARTELETE PNEUMÁTICO.</t>
  </si>
  <si>
    <t>DEMOLIÇÃO DE PISO REVESTIDO EM LADRILHO.</t>
  </si>
  <si>
    <t>DEMOLIÇÃO DE PISO EM LADRILHO SOBRE LASTRO DE CONCRETO SIMPLES.</t>
  </si>
  <si>
    <t>DEMOLIÇÃO DE PISO CIMENTADO.</t>
  </si>
  <si>
    <t xml:space="preserve">DEMOLIÇÃO DE PISO CIMENTADO SOBRE LASTRO DE CONCRETO. </t>
  </si>
  <si>
    <t>DEMOLIÇÃO DE PISO VINÍLICO.</t>
  </si>
  <si>
    <t xml:space="preserve">DEMOLIÇÃO DE PISO CERÂMICO. </t>
  </si>
  <si>
    <t xml:space="preserve">DEMOLIÇÃO DE PISO CERÂMICO SOBRE LASTRO DE CONCRETO SIMPLES. </t>
  </si>
  <si>
    <t xml:space="preserve">DEMOLIÇÃO DE PISO CERÂMICO INCLUSIVE RETIRADA DA CAMADA DE REGULARIZAÇÃO SOBRE LASTRO DE CONCRETO. </t>
  </si>
  <si>
    <t xml:space="preserve">DEMOLIÇÃO DE PISO E VIGAS EM MADEIRA. </t>
  </si>
  <si>
    <t>DEMOLIÇÃO DE DEGRAUS DE PEDRA.</t>
  </si>
  <si>
    <t>DEMOLIÇÃO DE CALÇADA EM PEDRA PORTUGUESA COM REAPROVEITAMENTO.</t>
  </si>
  <si>
    <t>DEMOLIÇÃO DE PASSEIO EM LAJOTA DE CONCRETO (50 X 50 CM) COM REAPROVEITAMENTO.</t>
  </si>
  <si>
    <t>DEMOLIÇÃO DE PAVIMENTAÇÃO EM PRE-MOLDADO EM CONCRETO COM REAPROVEITAMENTO.</t>
  </si>
  <si>
    <t>DEMOLIÇÃO DE MEIO FIO OU LINHA D'ÁGUA.</t>
  </si>
  <si>
    <t>DEMOLIÇÃO DE PAVIMENTAÇÃO ASFÁLTICA COM UTILIZAÇÃO DE MARTELETE PNEUMÁTICO.</t>
  </si>
  <si>
    <t>DEMOLIÇÃO MANUAL DE PAVIMENTAÇÃO ASFÁLTICA.</t>
  </si>
  <si>
    <t>DEMOLIÇÃO DE FORROS DE TÁBUAS.</t>
  </si>
  <si>
    <t>REMOÇÃO DE TUBULAÇÃO HIDROSANITÁRIA EMBUTIDA COM CONEXÕES DN 1/2" A 2" (20MM A 50MM)</t>
  </si>
  <si>
    <t>REMOÇÃO DE TUBULAÇÃO HIDROSANITÁRIA EMBUTIDA COM CONEXÕES DN 2 1/2" A 4" (60MM A100MM)</t>
  </si>
  <si>
    <t>REMOÇÃO DE TUBULAÇÃO HIDROSANITÁRIA APARENTE COM CONEXÕES, DN 1/2" A 2" (20MM A 50MM)</t>
  </si>
  <si>
    <t>REMOÇÃO DE TUBULAÇÃO HIDROSANITÁRIA APARENTE COM CONEXÕES, DN 2 1/2" A 4" 60MM A 100MM)</t>
  </si>
  <si>
    <t>RETIRADA DE CAIXA DE AR CONDICIONADO</t>
  </si>
  <si>
    <t>RETIRADA DE MEIO FIO EM CONCRETO COM APROVEITAMENTO.</t>
  </si>
  <si>
    <t>ALVENARIA DE TIJOLOS MACIÇOS PRENSADOS ASSENTADOS E REJUNTADOS COM ARGAMASSA DE CIMENTO E AREIA NO TRAÇO 1:3 - 1/2 VEZ.</t>
  </si>
  <si>
    <t>ALVENARIA DE TIJOLOS MACIÇOS PRENSADOS ASSENTADOS E REJUNTADOS COM ARGAMASSA DE CIMENTO E AREIA NO TRAÇO 1:8 - 1/2 VEZ.</t>
  </si>
  <si>
    <t>ALVENARIA DE TIJOLOS APARENTE ( 1/2 VEZ ) ASSENTADOS E REJUNTADOS COM ARGAMASSA DE CIMENTO E AREIA NO TRAÇO 1:10 - 1/2 VEZ.</t>
  </si>
  <si>
    <t>ESCORAMENTO VERTICAL DE FORMAS COM PONTALETES DE MADEIRA, PÉ DIREITO SIMPLES,  INCLUSIVE MONTAGEM E DESMONTAGEM (4 UTILIZAÇÕES)</t>
  </si>
  <si>
    <t>ESCORAMENTO VERTICAL DE FORMAS COM PONTALETES DE MADEIRA, PÉ DIREITO DUPLO, INCLUSIVE MONTAGEM E DESMONTAGEM (4 UTILIZAÇÕES)</t>
  </si>
  <si>
    <t>CONCRETO SIMPLES FCK = 35 MPA, DOSADO CONFORME A CONDIÇÃO "A" DA NORMA NBR 12655 E COM CONSUMO MÍNIMO DE CIMENTO 463 KG/M3, PARA LANÇAMENTO CONVENCIONAL; PREPARO.</t>
  </si>
  <si>
    <t xml:space="preserve">CONCRETO COMPACTADO A ROLO FCK = 8,0 MPA, CONSUMO MÍNIMO DE CIMENTO 80 KG PARA PRODUÇÃO DE 100 M3/H, PREPARO E LANÇAMENTO.                     </t>
  </si>
  <si>
    <t>CONCRETO COMPACTADO A ROLO FCK = 8,0 MPA, CONSUMO MÍNIMO DE CIMENTO 80 KG PARA PRODUÇÃO DE 80 M3/H, PREPARO E LANÇAMENTO.</t>
  </si>
  <si>
    <t>CONCRETO COMPACTADO A ROLO FCK = 8,0 MPA, CONSUMO MÍNIMO DE CIMENTO 80 KG PARA PRODUÇÃO DE 60 M3/H, PREPARO E LANÇAMENTO.</t>
  </si>
  <si>
    <t xml:space="preserve">CONCRETO COMPACTADO A ROLO FCK = 8,0 MPA, CONSUMO MÍNIMO DE CIMENTO 80 KG PARA PRODUÇÃO DE 40 M3/H, PREPARO E LANÇAMENTO.                      </t>
  </si>
  <si>
    <t>ARGAMASSA MISTA DE CIMENTO, SAIBRO E AREIA SEM PENEIRAR NO TRAÇO 1:5:5.</t>
  </si>
  <si>
    <t>REVESTIMENTO DE CHAPISCO PARA PAREDE INTERNA OU EXTERNA, EMPREGANDO ARGAMASSA  DE CIMENTO E AREIA MÉDIA OU GROSSA SEM PENEIRAR NO TRAÇO 1:5 COM 6 MM DE ESPESSURA.</t>
  </si>
  <si>
    <t>REVESTIMENTO DE CHAPISCO RÚSTICO GROSSO ( APARENTE ).</t>
  </si>
  <si>
    <t>IMPERMEABILIZAÇÃO À BASE DE ELASTÔMEROS SINTÉTICOS CALANDRADOS E PRÉ-VULCANIZADOS C/ MANTA BUTÍLICA</t>
  </si>
  <si>
    <t>IMPERMEABILIZAÇÃO À BASE DE ELASTÔMEROS SINTÉTICOS "NEOPRENE + HYPALON"</t>
  </si>
  <si>
    <t xml:space="preserve">REVESTIMENTO IMPERMEABILIZANTE, SEMI-FLEXÍVEL, BICOMPONENTE (A+B), À BASE DE CIMENTOS ESPECIAIS, ADITIVOS MINERAIS E POLÍMEROS DE EXCELENTES CARACTERÍSTICAS IMPERMEABILIZANTES. </t>
  </si>
  <si>
    <t>REVESTIMENTO EM AZULEJO ASSENTADO COM ARGAMASSA COLANTE INCLUSIVE EMBOÇO NO TRAÇO 1:2:8</t>
  </si>
  <si>
    <t>FORNECIMENTO E ASSENTAMENTO DE  PORTA INTERNA SEMI-OCA, INCLUSIVE GRADE, GUARNIÇÕES E FERRAGENS.</t>
  </si>
  <si>
    <t>FORNECIMENTO E ASSENTAMENTO DE PORTA EXTERNA EM MADEIRA DE LEI, COM GRADE, GUARNIÇÕES E FERRAGENS.</t>
  </si>
  <si>
    <t>ESQUADRIA DE MADEIRA PARA PORTAS EXTERNAS, TIPO SEMI-OCA, INCLUSIVE ASSENTAMENTO E FERRAGENS NAS DIMENSÕES 80X210CM.</t>
  </si>
  <si>
    <t>ESQUADRIA DE MADEIRA PARA JANELAS DE ABRIR OU CORRER, COM VENEZIANAS, VIDROS 4MM FERRAGENS, INCLUSIVE FORNECIMENTO E ASSENTAMENTO.</t>
  </si>
  <si>
    <t>VIDROS DE 4 MM COLOCADO.</t>
  </si>
  <si>
    <t>ESQUADRIA DE MADEIRA PARA JANELAS DE ABRIR OU CORRER, SEM VENEZIANAS, VIDROS 4MM, FERRAGENS, INCLUSIVE FORNECIMENTO E ASSENTAMENTO.</t>
  </si>
  <si>
    <t>ESQUADRIA DE ALUMINIO ANODIZADO PARA JANELAS TIPO CAIXILHOS DE CORRER, COM BANDEIRA BASCULANTES, VIDROS, INCLUSIVE FORNECIDO E ASSENTAMENTO.</t>
  </si>
  <si>
    <t>ESQUADRIAS DE FERRO TIPO BASCULANTE COM VIDROS FANTASIA COM FORNECIMENTO E ASSENTAMENTO.</t>
  </si>
  <si>
    <t>VIDROS DE 3 MM COLOCADO.</t>
  </si>
  <si>
    <t>VIDROS FANTASIA COLOCADO.</t>
  </si>
  <si>
    <t>PISO CIMENTADO COM JUNTAS DE VIDRO; CONSTRUÇÃO.</t>
  </si>
  <si>
    <t>PISO CIMENTADO COM JUNTAS DE MADEIRA; CONSTRUÇÃO.</t>
  </si>
  <si>
    <t>PISO RÚSTICO DE CONCRETO RIPADO; CONSTRUÇÃO.</t>
  </si>
  <si>
    <t>LASTRO DE PISO COM UTILIZAÇÃO DE ADITIVO IMPERMEABILIZANTE,COM 10 CM DE ESPESSURA EM CONCRETO NO TRAÇO 1:4:8; CONSTRUÇÃO.</t>
  </si>
  <si>
    <t>LASTRO DE PISO COM UTILIZAÇÃO DE ADITIVO IMPERMEABILIZANTE, COM 5 CM DE ESPESSURA EM CONCRETO NO TRAÇO 1:4:8; CONSTRUÇÃO.</t>
  </si>
  <si>
    <t>REGULARIZAÇÃO DE CONTRA PISO PARA REVESTIMENTO DE PISOS EMPREGANDO ARGAMASSA DE CIMENTO E AREIA NO TRAÇO 1:4, COM 3 CM DE ESPESSURA.</t>
  </si>
  <si>
    <t>CAIAÇÃO EM PAREDE INTERNA EXECUTADA EM TRES DEMÃOS.</t>
  </si>
  <si>
    <t>CAIAÇÃO EM PAREDE EXTERNA EXECUTADA EM TRES DEMÃOS.</t>
  </si>
  <si>
    <t>ABERTURA DE LETREIRO COM LOGOTIPO.</t>
  </si>
  <si>
    <t>LOCAÇÃO DE ANDAIME METÁLICO TIPO FACHADEIRO, INCLUSIVE MONTAGEM E DESMONTAGEM</t>
  </si>
  <si>
    <t>COBERTURA COM TELHA ESTRUTURAL FIBROCIMENTO, COM ESPESSURA DE 8 MM E COMPRIMENTO DE 9,20 M, COM ATÉ 2 ÁGUAS, INCLUSIVE IÇAMENTO, ACESSÓRIOS DE FIXAÇÃO E VEDAÇÃO</t>
  </si>
  <si>
    <t>BLOCOS DE ANCORAGEM MOLDADOS NO LOCAL EM CONCRETO SIMPLES FCK &gt;= 20 MPA - CONTROLE "A"</t>
  </si>
  <si>
    <t>BLOCOS DE ANCORAGEM MOLDADOS NO LOCAL EM CONCRETO ARMADO FCK &gt;= 20 MPA - CONTROLE "A"</t>
  </si>
  <si>
    <t>BLOCOS DE ANCORAGEM MOLDADOS NO LOCAL EM CONCRETO ARMADO FCK &gt;= 30 MPA - CONTROLE "A"</t>
  </si>
  <si>
    <t>BLOCOS DE ANCORAGEM MOLDADOS NO LOCAL EM CONCRETO ARMADO FCK &gt;= 40 MPA - CONTROLE "A"</t>
  </si>
  <si>
    <t>ASSENTAMENTO DE TAMPÃO CIRCULAR PARA ESGOTO E DRENAGEM, EM FERRO FUNDIDO, CONFORME PADRÃO COMPESA NTC-059, DIÂMETRO INTERNO = 0,6 M.</t>
  </si>
  <si>
    <t>INSTALAÇÃO DE POÇO DE VISITA EM POLIETILENO OU POLIPROPILENO PARA REDE COLETORA DE ESGOTO (CONFORME NTC-164), COM DIAMETRO DE 800 MM E ALTURA ATÉ 1,50 M</t>
  </si>
  <si>
    <t>LAJE DE CONCRETO ARMADO ( FCK &gt;= 25 MPA ) COM FURO PARA PV - DN - 1,00 M</t>
  </si>
  <si>
    <t>INSTALAÇÃO DE POÇO DE VISITA EM POLIETILENO OU POLIPROPILENO PARA REDE COLETORA DE ESGOTO (CONFORME NTC-164), COM DIAMETRO DE 800 MM E ALTURA ACIMA DE 1,50 ATÉ 2,50 M</t>
  </si>
  <si>
    <t>INSTALAÇÃO DE POÇO DE VISITA EM POLIETILENO OU POLIPROPILENO PARA REDE COLETORA DE ESGOTO (CONFORME NTC-164), COM DIAMETRO DE 1000 MM E ALTURA ATÉ 2,50 M</t>
  </si>
  <si>
    <t>INSTALAÇÃO DE POÇO DE VISITA EM POLIETILENO OU POLIPROPILENO PARA REDE COLETORA DE ESGOTO (CONFORME NTC-164), COM DIAMETRO DE 1000 MM E ALTURA ACIMA DE 2,50 ATÉ 5,00 M</t>
  </si>
  <si>
    <t>INSTALAÇAÕ DE POÇO DE INSPECAO EM POLIETILENO PARA REDE COLETORA DE ESGOTO (CONFORME NTC-166), COM DIAMETRO DE 600 MM E ALTURA ATÉ 2,00 M</t>
  </si>
  <si>
    <t>LAJE DE CONCRETO ARMADO ( FCK &gt;= 25 MPA ) COM FURO PARA PV - DN - 1,20 M</t>
  </si>
  <si>
    <t>ASSENTAMENTO DE TUBO DE CONCRETO DIAMETRO 1200 MM, MONTAGEM COM AUXÍLIO DE EQUIPAMENTOS</t>
  </si>
  <si>
    <t>TRANSPORTE DE TUBOS E CONEXÕES DE FOFO, AÇO OU CONCRETO  DMT - 15 KM</t>
  </si>
  <si>
    <t>ASSENTAMENTO DE TUBOS E CONEXÕES DE AÇO, JUNTA SOLDADA, PARA ÁGUA, DIÂMETRO 2200 MM, INCLUSIVE INSPEÇÃO, CARGA, TRANSPORTE E DESCARGA</t>
  </si>
  <si>
    <t>ASSENTAMENTO DE TUBULAÇÃO PONTA E BOLSA EM PVC OU PRFV OU RPVC OU CPRFV COM CONEXÕES E PEÇAS ESPECIAIS - DN -  50 MM, INCLUSIVE CARGA, TRANSPORTE E DESCARGA.</t>
  </si>
  <si>
    <t>CARGA, TRANSPORTE E DESCARGA DE TUBOS E PECAS EM PVC OU PRFV OU RPVC OU CPRFV DN 50 MM, ATE 15 KM</t>
  </si>
  <si>
    <t>ASSENTAMENTO DE TUBULAÇÃO PONTA E BOLSA EM PVC OU PRFV OU RPVC OU CPRFV COM CONEXÕES E PEÇAS ESPECIAIS  - DN -  75 MM, INCLUSIVE CARGA, TRANSPORTE E DESCARGA.</t>
  </si>
  <si>
    <t>CARGA, TRANSPORTE E DESCARGA DE TUBOS E PECAS EM PVC OU PRFV OU RPVC OU CPRFV DN 75 MM, ATE 15 KM</t>
  </si>
  <si>
    <t>ASSENTAMENTO DE TUBULAÇÃO PONTA E BOLSA EM PVC OU PRFV OU RPVC OU CPRFV COM CONEXÕES E PEÇAS ESPECIAIS -  DN -  100 MM, INCLUSIVE CARGA, TRANSPORTE E DESCARGA.</t>
  </si>
  <si>
    <t>CARGA, TRANSPORTE E DESCARGA DE TUBOS E PECAS EM PVC OU PRFV OU RPVC OU CPRFV DN 100 MM, ATE 15 KM</t>
  </si>
  <si>
    <t>CARGA, TRANSPORTE E DESCARGA DE TUBOS E PECAS EM PVC OU PRFV OU RPVC OU CPRFV DN 150 MM, ATE 15 KM</t>
  </si>
  <si>
    <t>CARGA, TRANSPORTE E DESCARGA DE TUBOS E PECAS EM PVC OU PRFV OU RPVC OU CPRFV DN 200 MM, ATE 15 KM</t>
  </si>
  <si>
    <t>CARGA, TRANSPORTE E DESCARGA DE TUBOS E PECAS EM PVC OU PRFV OU RPVC OU CPRFV DN 250 MM, ATE 15 KM</t>
  </si>
  <si>
    <t>CARGA, TRANSPORTE E DESCARGA DE TUBOS E PECAS EMPVC OU PRFV OU RPVC OU CPRFV DN 300 MM, ATE 15 KM</t>
  </si>
  <si>
    <t>CARGA, TRANSPORTE E DESCARGA DE TUBOS E PECAS EM PVC OU PRFV OU RPVC OU CPRFV DN 350 MM, ATE 15 KM</t>
  </si>
  <si>
    <t>CARGA, TRANSPORTE E DESCARGA DE TUBOS E PECAS EM PVC OU PRFV OU RPVC OU CPRFV DN 400 MM, ATE 15 KM</t>
  </si>
  <si>
    <t>CARGA, TRANSPORTE E DESCARGA DE TUBOS E PECAS EM PVC OU PRFV OU RPVC OU CPRFV DN 500 MM, ATE 15 KM</t>
  </si>
  <si>
    <t>ASSENTAMENTO DE TUBOS E CONEXOES DE POLIETILENO DE ALTA DENSIDADE (PEAD), JUNTA SOLDADA POR ELETROFUSÃO, DIAMETRO EXTERNO 20 MM A 32 MM, INCLUSIVE CARGA, DESCARGA E TRANSPORTE.</t>
  </si>
  <si>
    <t>ASSENTAMENTO DE TUBOS E CONEXOES DE POLIETILENO DE ALTA DENSIDADE (PEAD), JUNTA SOLDADA POR ELETROFUSÃO, DIAMETRO EXTERNO 63 MM, INCLUSIVE CARGA, DESCARGA E TRANSPORTE.</t>
  </si>
  <si>
    <t>ASSENTAMENTO DE TUBOS E CONEXOES DE POLIETILENO DE ALTA DENSIDADE (PEAD), JUNTA SOLDADA POR ELETROFUSAO, DIAMETRO 90 MM, INCLUSIVE CARGA, DESCARGA E TRANSPORTE.</t>
  </si>
  <si>
    <t>ASSENTAMENTO DE TUBOS E CONEXOES DE POLIETILENO DE ALTA DENSIDADE (PEAD), JUNTA SOLDADA POR ELETROFUSAO, DIAMETRO 110 MM, INCLUSIVE CARGA, DESCARGA E TRANSPORTE.</t>
  </si>
  <si>
    <t>ASSENTAMENTO DE TUBOS E CONEXOES DE POLIETILENO DE ALTA DENSIDADE (PEAD), JUNTA SOLDADA POR ELETROFUSAO, DIAMETRO 160 MM, INCLUSIVE CARGA, DESCARGA E TRANSPORTE.</t>
  </si>
  <si>
    <t>ASSENTAMENTO DE TUBOS E CONEXOES DE POLIETILENO DE ALTA DENSIDADE (PEAD), JUNTA SOLDADA POR ELETROFUSAO, DIAMETRO 180 MM, INCLUSIVE CARGA, DESCARGA E TRANSPORTE.</t>
  </si>
  <si>
    <t>ASSENTAMENTO DE TUBOS DE POLIETILENO DE ALTA DENSIDADE (PEAD), COM SOLDA POR TERMOFUSAO (TOPO), DIAMETRO 180 MM, INCLUSIVE CARGA, DESCARGA E TRANSPORTE.</t>
  </si>
  <si>
    <t>ASSENTAMENTO DE TUBOS DE POLIETILENO DE ALTA DENSIDADE (PEAD), COM SOLDA POR TERMOFUSAO (TOPO), DIAMETRO 200 MM, INCLUSIVE CARGA, DESCARGA E TRANSPORTE.</t>
  </si>
  <si>
    <t>ASSENTAMENTO DE TUBOS DE POLIETILENO DE ALTA DENSIDADE (PEAD), COM SOLDA POR TERMOFUSAO (TOPO), DIAMETRO 225 MM, INCLUSIVE CARGA, DESCARGA E TRANSPORTE.</t>
  </si>
  <si>
    <t>ASSENTAMENTO DE TUBOS DE POLIETILENO DE ALTA DENSIDADE (PEAD), COM SOLDA POR TERMOFUSAO (TOPO), DIAMETRO 250 MM, INCLUSIVE CARGA, DESCARGA E TRANSPORTE.</t>
  </si>
  <si>
    <t>ASSENTAMENTO DE TUBOS DE POLIETILENO DE ALTA DENSIDADE (PEAD), COM SOLDA POR TERMOFUSAO (TOPO), DIAMETRO 315 MM, INCLUSIVE CARGA, DESCARGA E TRANSPORTE.</t>
  </si>
  <si>
    <t>ASSENTAMENTO DE TUBOS DE POLIETILENO DE ALTA DENSIDADE (PEAD), COM SOLDA POR TERMOFUSAO (TOPO), DIAMETRO 355 MM, INCLUSIVE CARGA, DESCARGA E TRANSPORTE.</t>
  </si>
  <si>
    <t>ASSENTAMENTO DE TUBOS DE POLIETILENO DE ALTA DENSIDADE (PEAD), COM SOLDA POR TERMOFUSAO (TOPO), DIAMETRO 400 MM, INCLUSIVE CARGA, DESCARGA E TRANSPORTE.</t>
  </si>
  <si>
    <t>ASSENTAMENTO DE TUBOS DE POLIETILENO DE ALTA DENSIDADE (PEAD), COM SOLDA POR TERMOFUSAO (TOPO), DIAMETRO 450 MM, INCLUSIVE CARGA, DESCARGA E TRANSPORTE.</t>
  </si>
  <si>
    <t>ASSENTAMENTO DE TUBOS DE POLIETILENO DE ALTA DENSIDADE (PEAD), COM SOLDA POR TERMOFUSAO (TOPO), DIAMETRO 500 MM, INCLUSIVE CARGA, DESCARGA E TRANSPORTE.</t>
  </si>
  <si>
    <t>ASSENTAMENTO DE TUBOS DE POLIETILENO DE ALTA DENSIDADE (PEAD), COM SOLDA POR TERMOFUSAO (TOPO), DIAMETRO 560 MM, INCLUSIVE CARGA, DESCARGA E TRANSPORTE.</t>
  </si>
  <si>
    <t>ASSENTAMENTO DE TUBOS DE POLIETILENO DE ALTA DENSIDADE (PEAD), COM SOLDA POR TERMOFUSAO (TOPO), DIAMETRO 630 MM, INCLUSIVE CARGA, DESCARGA E TRANSPORTE.</t>
  </si>
  <si>
    <t>ASSENTAMENTO DE TUBOS DE POLIETILENO DE ALTA DENSIDADE (PEAD), COM SOLDA POR TERMOFUSAO (TOPO), DIAMETRO 710 MM, INCLUSIVE CARGA, DESCARGA E TRANSPORTE.</t>
  </si>
  <si>
    <t>ASSENTAMENTO DE TUBOS DE POLIETILENO DE ALTA DENSIDADE (PEAD), COM SOLDA POR TERMOFUSAO (TOPO), DIAMETRO 800 MM, INCLUSIVE CARGA, DESCARGA E TRANSPORTE.</t>
  </si>
  <si>
    <t>ASSENTAMENTO DE TUBOS DE POLIETILENO DE ALTA DENSIDADE (PEAD), COM SOLDA POR TERMOFUSAO (TOPO), DIAMETRO 900 MM,  INCLUSIVE CARGA, DESCARGA E TRANSPORTE.</t>
  </si>
  <si>
    <t>ASSENTAMENTO DE TUBOS DE POLIETILENO DE ALTA DENSIDADE (PEAD), COM SOLDA POR TERMOFUSAO (TOPO), DIAMETRO 1.000 MM, INCLUSIVE CARGA, DESCARGA E TRANSPORTE.</t>
  </si>
  <si>
    <t>ASSENTAMENTO DE TUBOS DE POLIETILENO DE ALTA DENSIDADE (PEAD), COM SOLDA POR TERMOFUSAO (TOPO), DIAMETRO 1.200 MM,  INCLUSIVE CARGA, DESCARGA E TRANSPORTE.</t>
  </si>
  <si>
    <t xml:space="preserve">ASSENTAMENTO DE TUBO DE PEAD CORRUGADO DE DUPLA PAREDE PARA REDE COLETORA DE ESGOTO, DN 750MM, JUNTA ELÁSTICA INTEGRADA, INSTALADO EM LOCAL COM NÍVEL ALTO DE INTERFERÊNCIAS (NÃO INCLUI FORNECIMENTO). </t>
  </si>
  <si>
    <t xml:space="preserve">ASSENTAMENTO DE TUBO DE PEAD CORRUGADO DE DUPLA PAREDE PARA REDE COLETORA DE ESGOTO, DN 750MM, JUNTA ELÁSTICA INTEGRADA, INSTALADO EM LOCAL COM NÍVEL BAIXO DE INTERFERÊNCIAS (NÃO INCLUI FORNECIMENTO). </t>
  </si>
  <si>
    <t>ASSENTAMENTO DE TUBULACAO PELO METODO NAO DESTRUTIVO MND DIRECIONAL DN 110 MM PN 08 INCLUSIVE SOLDA POR ELETROFUSAO, FORNECIMENTO DE TUBOS, CONEXOES E MAO DE OBRA</t>
  </si>
  <si>
    <t>ASSENTAMENTO DE TUBULACAO PELO METODO NAO DESTRUTIVO MND DIRECIONAL DN 160 MM PN 08 INCLUSIVE SOLDA POR ELETROFUSAO, FORNECIMENTO DE TUBOS, CONEXOES E MAO DE OBRA</t>
  </si>
  <si>
    <t>ASSENTAMENTO DE TUBULACAO PELO METODO NAO DESTRUTIVO MND DIRECIONAL DN 200 MM PN 08 INCLUSIVE SOLDA POR TERMOFUSAO, FORNECIMENTO DE TUBOS, CONEXOES E MAO DE OBRA</t>
  </si>
  <si>
    <t>ASSENTAMENTO DE TUBULACAO PELO METODO NAO DESTRUTIVO MND DIRECIONAL DN 250 MM PN 08 INCLUSIVE SOLDA POR TERMOFUSAO, FORNECIMENTO DE TUBOS, CONEXOES E MAO DE OBRA</t>
  </si>
  <si>
    <t>ASSENTAMENTO DE TUBULACAO PELO METODO NAO DESTRUTIVO MND DIRECIONAL DN 315 MM PN 08 INCLUSIVE SOLDA POR TERMOFUSAO, FORNECIMENTO DE TUBOS, CONEXOES E MAO DE OBRA</t>
  </si>
  <si>
    <t>ASSENTAMENTO DE TUBULACAO PELO METODO NAO DESTRUTIVO MND DIRECIONAL DN 355 MM PN 08 INCLUSIVE SOLDA POR TERMOFUSAO, FORNECIMENTO DE TUBOS, CONEXOES E MAO DE OBRA</t>
  </si>
  <si>
    <t>ASSENTAMENTO DE TUBULACAO PELO METODO NAO DESTRUTIVO MND DIRECIONAL DN 400 MM PN 08 INCLUSIVE SOLDA POR TERMOFUSAO, FORNECIMENTO DE TUBOS, CONEXOES E MAO DE OBRA</t>
  </si>
  <si>
    <t>ASSENTAMENTO DE TUBULACAO PELO METODO NAO DESTRUTIVO MND DIRECIONAL DN 450 MM PN 08 INCLUSIVE SOLDA POR TERMOFUSAO, FORNECIMENTO DE TUBOS, CONEXOES E MAO DE OBRA</t>
  </si>
  <si>
    <t>ASSENTAMENTO DE TUBULACAO PELO METODO NAO DESTRUTIVO MND DIRECIONAL DN 500 MM PN 08 INCLUSIVE SOLDA POR TERMOFUSAO, FORNECIMENTO DE TUBOS, CONEXOES E MAO DE OBRA</t>
  </si>
  <si>
    <t>ASSENTAMENTO DE TUBULACAO PELO METODO NAO DESTRUTIVO MND DIRECIONAL DN 630 MM PN 08 INCLUSIVE SOLDA POR TERMOFUSAO, FORNECIMENTO DE TUBOS, CONEXOES E MAO DE OBRA</t>
  </si>
  <si>
    <t>ASSENTAMENTO DE TUBULACAO PELO METODO NAO DESTRUTIVO MND DIRECIONAL DN 710 MM PN 08 INCLUSIVE SOLDA POR TERMOFUSAO, FORNECIMENTO DE TUBOS, CONEXOES E MAO DE OBRA</t>
  </si>
  <si>
    <t>ASSENTAMENTO DE TUBULACAO PELO METODO NAO DESTRUTIVO MND DIRECIONAL DN 800 MM PN 08 INCLUSIVE SOLDA POR TERMOFUSAO, FORNECIMENTO DE TUBOS, CONEXOES E MAO DE OBRA</t>
  </si>
  <si>
    <t>ASSENTAMENTO DE TUBULACAO PELO METODO NAO DESTRUTIVO MND DIRECIONAL DN 900 MM PN 08 INCLUSIVE SOLDA POR TERMOFUSAO, FORNECIMENTO DE TUBOS, CONEXOES E MAO DE OBRA</t>
  </si>
  <si>
    <t>ASSENTAMENTO DE TUBULACAO PELO METODO NAO DESTRUTIVO MND DIRECIONAL DN 1.000 MM PN 08 INCLUSIVE SOLDA POR TERMOFUSAO, FORNECIMENTO DE TUBOS, CONEXOES E MAO DE OBRA</t>
  </si>
  <si>
    <t>ASSENTAMENTO DE TUBULACAO PELO METODO NAO DESTRUTIVO MND DIRECIONAL DN 1.200 MM PN 08 INCLUSIVE SOLDA POR TERMOFUSAO, FORNECIMENTO DE TUBOS, CONEXOES E MAO DE OBRA</t>
  </si>
  <si>
    <t>IMPLANTACAO DE TRAVESSIA PELO METODO NAO DESTRUTIVO COM TUBO CAMISA EM ACO CARBONO 200 MM, INCLUSIVE FORNECIMENTO DO TUBO</t>
  </si>
  <si>
    <t>IMPLANTACAO DE TRAVESSIA PELO METODO NAO DESTRUTIVO COM TUBO CAMISA EM ACO CARBONO 250 MM, INCLUSIVE FORNECIMENTO DO TUBO.</t>
  </si>
  <si>
    <t>IMPLANTACAO DE TRAVESSIA PELO METODO NAO DESTRUTIVO COM TUBO CAMISA EM ACO CARBONO 300 MM, INCLUSIVE FORNECIMENTO DO TUBO.</t>
  </si>
  <si>
    <t>IMPLANTACAO DE TRAVESSIA PELO METODO NAO DESTRUTIVO COM TUBO CAMISA EM ACO CARBONO 400 MM, INCLUSIVE FORNECIMENTO DO TUBO.</t>
  </si>
  <si>
    <t>IMPLANTACAO DE TRAVESSIA PELO METODO NAO DESTRUTIVO COM TUBO CAMISA EM ACO CARBONO 500 MM, INCLUSIVE FORNECIMENTO DO TUBO.</t>
  </si>
  <si>
    <t>IMPLANTACAO DE TRAVESSIA PELO METODO NAO DESTRUTIVO COM TUBO CAMISA EM ACO CARBONO 600 MM, INCLUSIVE FORNECIMENTO DO TUBO.</t>
  </si>
  <si>
    <t>IMPLANTACAO DE TRAVESSIA PELO METODO NAO DESTRUTIVO COM TUBO CAMISA EM ACO CARBONO 700 MM, INCLUSIVE FORNECIMENTO DO TUBO.</t>
  </si>
  <si>
    <t>IMPLANTACAO DE TRAVESSIA PELO METODO NAO DESTRUTIVO COM TUBO CAMISA EM ACO CARBONO 800 MM, INCLUSIVE FORNECIMENTO DO TUBO.</t>
  </si>
  <si>
    <t>IMPLANTACAO DE TRAVESSIA PELO METODO NAO DESTRUTIVO COM TUBO CAMISA EM ACO CARBONO 900 MM, INCLUSIVE FORNECIMENTO DO TUBO.</t>
  </si>
  <si>
    <t>IMPLANTACAO DE TRAVESSIA PELO METODO NAO DESTRUTIVO COM TUBO CAMISA EM ACO CARBONO 1.000 MM, INCLUSIVE FORNECIMENTO DO TUBO.</t>
  </si>
  <si>
    <t>IMPLANTACAO DE TRAVESSIA PELO METODO NAO DESTRUTIVO COM TUBO CAMISA EM ACO CARBONO 1.100 MM, INCLUSIVE FORNECIMENTO DO TUBO.</t>
  </si>
  <si>
    <t>IMPLANTACAO DE TRAVESSIA PELO METODO NAO DESTRUTIVO COM TUBO CAMISA EM ACO CARBONO 1.200 MM, INCLUSIVE FORNECIMENTO DO TUBO.</t>
  </si>
  <si>
    <t>IMPLANTACAO DE TRAVESSIA PELO METODO NAO DESTRUTIVO COM TUBO CAMISA EM ACO CARBONO 1.300 MM, INCLUSIVE FORNECIMENTO DO TUBO.</t>
  </si>
  <si>
    <t>IMPLANTACAO DE TRAVESSIA PELO METODO NAO DESTRUTIVO COM TUBO CAMISA EM ACO CARBONO 1.400 MM, INCLUSIVE FORNECIMENTO DO TUBO.</t>
  </si>
  <si>
    <t>IMPLANTACAO DE TRAVESSIA PELO METODO NAO DESTRUTIVO COM TUBO CAMISA EM ACO CARBONO 1.500 MM, INCLUSIVE FORNECIMENTO DO TUBO.</t>
  </si>
  <si>
    <t>IMPLANTACAO DE TRAVESSIA PELO METODO NAO DESTRUTIVO COM TUBO CAMISA EM ACO CARBONO 1.600 MM, INCLUSIVE FORNECIMENTO DO TUBO.</t>
  </si>
  <si>
    <t>IMPLANTACAO DE TRAVESSIA PELO METODO NAO DESTRUTIVO COM TUBO CAMISA EM ACO CARBONO 1.700 MM, INCLUSIVE FORNECIMENTO DO TUBO.</t>
  </si>
  <si>
    <t>IMPLANTACAO DE TRAVESSIA PELO METODO NAO DESTRUTIVO COM TUBO CAMISA EM ACO CARBONO 1.800 MM, INCLUSIVE FORNECIMENTO DO TUBO.</t>
  </si>
  <si>
    <t>IMPLANTACAO DE TRAVESSIA PELO METODO NAO DESTRUTIVO COM TUBO CAMISA EM ACO CARBONO 1.900 MM, INCLUSIVE FORNECIMENTO DO TUBO.</t>
  </si>
  <si>
    <t>IMPLANTACAO DE TRAVESSIA PELO METODO NAO DESTRUTIVO COM TUBO CAMISA EM ACO CARBONO 2.000 MM, INCLUSIVE FORNECIMENTO DO TUBO.</t>
  </si>
  <si>
    <t>INTERLIGACAO DE REDE, EM FERRO FUNDIDO, INCLUINDO ASSENTAMENTO DE CONEXOES, CORTES E BIZELAMENTOS DE TUBOS, COM DN ≤  300 MM.</t>
  </si>
  <si>
    <t>INTERLIGACAO DE REDE, EM FERRO FUNDIDO, INCLUINDO ASSENTAMENTO DE CONEXOES, CORTES E BIZELAMENTOS DE TUBOS, COM DN &gt; 300 MM E ≤ 800 MM.</t>
  </si>
  <si>
    <t>INTERLIGACAO DE REDE, EM FERRO FUNDIDO, INCLUINDO ASSENTAMENTO DE CONEXOES, CORTES E BIZELAMENTOS DE TUBOS, COM DN &gt; 800 MM.</t>
  </si>
  <si>
    <t>CORDÃO DE SOLDA EM TUBULAÇÃO DE FERRO FUNDIDO DN 300 MM, INCLUSIVE CORTE, LIXAMENTO, BISEL E PINTURA ANTICORROSIVA</t>
  </si>
  <si>
    <t>CORDÃO DE SOLDA EM TUBULAÇÃO DE FERRO FUNDIDO DN 400 MM, INCLUSIVE CORTE, LIXAMENTO, BISEL E PINTURA ANTICORROSIVA</t>
  </si>
  <si>
    <t>CORDÃO DE SOLDA EM TUBULAÇÃO DE FERRO FUNDIDO DN 500 MM, INCLUSIVE CORTE, LIXAMENTO, BISEL E PINTURA ANTICORROSIVA</t>
  </si>
  <si>
    <t>CORDÃO DE SOLDA EM TUBULAÇÃO DE FERRO FUNDIDO DN 600 MM, INCLUSIVE CORTE, LIXAMENTO, BISEL E PINTURA ANTICORROSIVA</t>
  </si>
  <si>
    <t>CORDÃO DE SOLDA EM TUBULAÇÃO DE FERRO FUNDIDO DN 700 MM, INCLUSIVE CORTE, LIXAMENTO, BISEL E PINTURA ANTICORROSIVA</t>
  </si>
  <si>
    <t>CORDÃO DE SOLDA EM TUBULAÇÃO DE FERRO FUNDIDO DN 800 MM, INCLUSIVE CORTE, LIXAMENTO, BISEL E PINTURA ANTICORROSIVA</t>
  </si>
  <si>
    <t>CORDÃO DE SOLDA EM TUBULAÇÃO DE FERRO FUNDIDO DN 900 MM, INCLUSIVE CORTE, LIXAMENTO, BISEL E PINTURA ANTICORROSIVA</t>
  </si>
  <si>
    <t>CORDÃO DE SOLDA EM TUBULAÇÃO DE FERRO FUNDIDO DN 1000 MM, INCLUSIVE CORTE, LIXAMENTO, BISEL E PINTURA ANTICORROSIVA</t>
  </si>
  <si>
    <t>CORDÃO DE SOLDA EM TUBULAÇÃO DE FERRO FUNDIDO DN 1200 MM, INCLUSIVE CORTE, LIXAMENTO, BISEL E PINTURA ANTICORROSIVA</t>
  </si>
  <si>
    <t>INTERLIGACAO DE REDE, EM PVC, INCLUIINDO ASSENTAMENTO DE CONEXOES, CORTES E TUBOS, COM DN &lt; 200 MM.</t>
  </si>
  <si>
    <t>INTERLIGACAO DE REDE, EM PVC, INCLUIINDO ASSENTAMENTO DE CONEXOES, CORTES E TUBOS, COM DN ≥ 200 MM.</t>
  </si>
  <si>
    <t>MONTAGEM DE JUNTA FLANGEADA DE TUBOS, CONEXÕES, VÁLVULAS E REGISTROS DE FERRO FUNDIDO ( CONTENDO 02 FLANGES A UNIDADE ) - DN - 50MM.</t>
  </si>
  <si>
    <t>INSTALAÇÃO DE HIDRANTE DE COLUNA</t>
  </si>
  <si>
    <t>ASSENTAMENTO DE PECAS, CONEXOES, APARELHOS E ACESSORIOS DE FERRO FUNDIDO DUCTIL, JUNTA ELASTICA, MECANICA OU FLANGEADA, COM DIAMETROS DE 50 A 300 MM</t>
  </si>
  <si>
    <t>ASSENTAMENTO DE PECAS, CONEXOES, APARELHOS E ACESSORIOS DE FERRO FUNDIDO DUCTIL, JUNTA ELASTICA, MECANICA OU FLANGEADA, COM DIAMETROS DE 350 A 600 MM</t>
  </si>
  <si>
    <t>ASSENTAMENTO DE PECAS, CONEXOES, APARELHOS E ACESSORIOS DE FERRO FUNDIDO DUCTIL, JUNTA ELASTICA, MECANICA OU FLANGEADA, COM DIAMETROS DE 700 A 1200 MM</t>
  </si>
  <si>
    <t>TAMPONAMENTO DE REDE DE ESGOTO - DN -  150 MM.</t>
  </si>
  <si>
    <t>TAMPONAMENTO DE REDE DE ESGOTO - DN -  200 MM.</t>
  </si>
  <si>
    <t>TAMPONAMENTO DE REDE DE ESGOTO - DN -  250 MM.</t>
  </si>
  <si>
    <t>TAMPONAMENTO DE REDE DE ESGOTO - DN -  300 MM.</t>
  </si>
  <si>
    <t>TAMPONAMENTO DE REDE DE ESGOTO - DN -  400 MM.</t>
  </si>
  <si>
    <t>LIGAÇÃO A POÇO DE VISITA EXISTENTE.</t>
  </si>
  <si>
    <t>CAIXA DE PROTEÇÃO PARA REGISTRO COM FLANGES - TIPO 01A - EM ESTRUTURA MISTA DE CONCRETO E ALVENARIA PARA TUBULAÇÃO DN 50 A 100MM, DIMENSÕES EXTERNAS 1,50X1,10X1,70 M, INCLUSIVE DRENO DE BRITA E ESCADA DE INSPEÇÃO, EXCLUSIVE ESCAVAÇÃO, REATERRO E TAMPÃO.</t>
  </si>
  <si>
    <t>FORNECIMENTO E INSTALAÇÃO DE ESCADA DE MARINHEIRO EM AÇO CA-50 SEM GAIOLA DE PROTEÇÃO</t>
  </si>
  <si>
    <t>CAIXA DE PROTEÇÃO PARA REGISTRO COM FLANGES - TIPO 02A - EM ESTRUTURA MISTA DE CONCRETO E ALVENARIA PARA TUBULAÇÃO DN 150 A 200MM, DIMENSÕES EXTERNAS 1,65X1,30X1,80 M, INCLUSIVE DRENO DE BRITA E ESCADA DE INSPEÇÃO, EXCLUSIVE ESCAVAÇÃO, REATERRO E TAMPÃO.</t>
  </si>
  <si>
    <t>CAIXA DE PROTEÇÃO PARA REGISTRO COM FLANGES - TIPO 03A - EM ESTRUTURA MISTA DE CONCRETO E ALVENARIA PARA TUBULAÇÃO DN 250 A 300MM, DIMENSÕES EXTERNAS 1,80X1,30X1,90 M, INCLUSIVE DRENO DE BRITA E ESCADA DE INSPEÇÃO, EXCLUSIVE ESCAVAÇÃO, REATERRO E TAMPÃO.</t>
  </si>
  <si>
    <t>CAIXA DE PROTEÇÃO PARA REGISTRO COM FLANGES - TIPO 04A - EM ESTRUTURA MISTA DE CONCRETO E ALVENARIA PARA TUBULAÇÃO DN 350 A 400MM, DIMENSÕES EXTERNAS 2,10X1,40X2,00 M, INCLUSIVE DRENO DE BRITA E ESCADA DE INSPEÇÃO, EXCLUSIVE ESCAVAÇÃO, REATERRO E TAMPÃO.</t>
  </si>
  <si>
    <t>CAIXA DE PROTEÇÃO PARA REGISTRO COM FLANGES - TIPO 05A - EM ESTRUTURA MISTA DE CONCRETO E ALVENARIA PARA TUBULAÇÃO DN 450 A 500MM, DIMENSÕES EXTERNAS 2,25X1,50X2,45 M, INCLUSIVE DRENO DE BRITA E ESCADA DE INSPEÇÃO, EXCLUSIVE ESCAVAÇÃO, REATERRO E TAMPÃO.</t>
  </si>
  <si>
    <t>CAIXA DE PROTEÇÃO PARA REGISTRO COM FLANGES - TIPO 06A - EM ESTRUTURA MISTA DE CONCRETO E ALVENARIA PARA TUBULAÇÃO DN 600MM, DIMENSÕES EXTERNAS 2,50X1,50X2,65 M, INCLUSIVE DRENO DE BRITA E ESCADA DE INSPEÇÃO, EXCLUSIVE ESCAVAÇÃO, REATERRO E TAMPÃO.</t>
  </si>
  <si>
    <t>CAIXA DE PROTEÇÃO PARA REGISTRO COM FLANGES - TIPO 01B - EM ESTRUTURA DE CONCRETO PARA TUBULAÇÃO DN 50 A 100MM, DIMENSÕES EXTERNAS 1,60X1,20X1,80 M, INCLUSIVE DRENO DE BRITA E ESCADA DE INSPEÇÃO, EXCLUSIVE ESCAVAÇÃO, REATERRO E TAMPÃO.</t>
  </si>
  <si>
    <t>CAIXA DE PROTEÇÃO PARA REGISTRO COM FLANGES - TIPO 02B - EM ESTRUTURA DE CONCRETO PARA TUBULAÇÃO DN 150 A 200MM, DIMENSÕES EXTERNAS 1,75X1,40X1,90 M, INCLUSIVE DRENO DE BRITA E ESCADA DE INSPEÇÃO, EXCLUSIVE ESCAVAÇÃO, REATERRO E TAMPÃO.</t>
  </si>
  <si>
    <t>CAIXA DE PROTEÇÃO PARA REGISTRO COM FLANGES - TIPO 03B - EM ESTRUTURA DE CONCRETO PARA TUBULAÇÃO DN 250 A 300 MM, DIMENSÕES EXTERNAS 1,90X1,40X2,00 M, INCLUSIVE DRENO DE BRITA E ESCADA DE INSPEÇÃO, EXCLUSIVE ESCAVAÇÃO, REATERRO E TAMPÃO.</t>
  </si>
  <si>
    <t>CAIXA DE PROTEÇÃO PARA REGISTRO COM FLANGES - TIPO 04B - EM ESTRUTURA DE CONCRETO PARA TUBULAÇÃO DN 350 A 400 MM, DIMENSÕES EXTERNAS 2,20X1,50X2,10 M, INCLUSIVE DRENO DE BRITA E ESCADA DE INSPEÇÃO, EXCLUSIVE ESCAVAÇÃO, REATERRO E TAMPÃO.</t>
  </si>
  <si>
    <t>CAIXA DE PROTEÇÃO PARA REGISTRO COM FLANGES - TIPO 05B - EM ESTRUTURA DE CONCRETO PARA TUBULAÇÃO DN 450 A 500 MM, DIMENSÕES EXTERNAS 2,35X1,60X2,55 M, INCLUSIVE DRENO DE BRITA E ESCADA DE INSPEÇÃO, EXCLUSIVE ESCAVAÇÃO, REATERRO E TAMPÃO.</t>
  </si>
  <si>
    <t>CAIXA DE PROTEÇÃO PARA REGISTRO COM FLANGES - TIPO 06B - EM ESTRUTURA DE CONCRETO PARA TUBULAÇÃO DN 600 MM, DIMENSÕES EXTERNAS 2,60X1,60X2,75 M, INCLUSIVE DRENO DE BRITA E ESCADA DE INSPEÇÃO, EXCLUSIVE ESCAVAÇÃO, REATERRO E TAMPÃO.</t>
  </si>
  <si>
    <t>CONSTRUÇÃO DE CAIXA COLETORA PARA REDE SECA DE ESGOTO EM ALVENARIA INCLUSIVE CHAPISCO, MASSA, LASTRO DE CONCRETO SIMPLES ( FCK &gt;= 15 MPA, CONTROLE "B" ) E TAMPA DE CONCRETO ARMADO ( FCK &gt;= 20 MPA, CONTROLE "B" ), COM REATERRO.</t>
  </si>
  <si>
    <t>CONSTRUÇÃO DE CAIXA COLETORA PARA REDE DE ESGOTO EM ALVENARIA INCLUSIVE CHAPISCO, MASSA, LASTRO DE CONCRETO SIMPLES ( FCK &gt;= 15 MPA, CONTROLE "B" ) E TAMPA DE CONCRETO ARMADO  ( FCK &gt;= 20 MPA, CONTROLE "B" ), COM REATERRO.</t>
  </si>
  <si>
    <t>CONSTRUÇÃO DE CAIXA DE PASSAGEM PARA ESGOTO EM ANÉIS DE CONCRETO ARMADO (FCK&gt;=40MPA), BANQUETA EM CONCRETO SIMPLES 1:3:5, COROAMENTO EM TIJOLOS E TAMPA DE CONCRETO ARMADO, DN 0,40 M E PROFUNDIDADE DE 0,65 M, EXCLUSIVE ESCAVAÇÃO E REATERRO  - CONFORME PADRÃO COMPESA.</t>
  </si>
  <si>
    <t>CONSTRUÇÃO DE CAIXA DE PASSAGEM PARA ESGOTO EM ANÉIS DE CONCRETO ARMADO (FCK&gt;=40MPA), BANQUETA EM CONCRETO SIMPLES 1:3:5, COROAMENTO EM TIJOLOS E TAMPA DE CONCRETO ARMADO, DN 0,60 M E PROFUNDIDADE 1,00 M, EXCLUSIVE ESCAVAÇÃO E REATERRO  - CONFORME PADRÃO COMPESA.</t>
  </si>
  <si>
    <t>CAIXA DE PROTEÇÃO PARA VÁLVULA BORBOLETA - TIPO 01A - EM ESTRUTURA MISTA DE CONCRETO E ALVENARIA, PARA TUBULAÇÃO DN 50 A 100 MM, DIMENSÕES EXTERNAS 1,50X1,10X1,70 M (COMP X LARG X ALT), INCLUSIVE DRENO DE BRITA E ESCADA DE INSPEÇÃO, EXCLUSIVE ESCAVAÇÃO, REATERRO E TAMPÃO.</t>
  </si>
  <si>
    <t>CAIXA DE PROTEÇÃO PARA VÁLVULA BORBOLETA - TIPO 02A - EM ESTRUTURA MISTA DE CONCRETO E ALVENARIA, PARA TUBULAÇÃO DN 150 A 200 MM, DIMENSÕES EXTERNAS 1,65X1,30X1,80 M (COMP X LARG X ALT), INCLUSIVE DRENO DE BRITA E ESCADA DE INSPEÇÃO, EXCLUSIVE ESCAVAÇÃO, REATERRO E TAMPÃO.</t>
  </si>
  <si>
    <t>CAIXA DE PROTEÇÃO PARA VÁLVULA BORBOLETA - TIPO 03A - EM ESTRUTURA MISTA DE CONCRETO E ALVENARIA, PARA TUBULAÇÃO DN 250 A 300 MM, DIMENSÕES EXTERNAS 1,80X1,30X1,90 M (COMP X LARG X ALT), INCLUSIVE DRENO DE BRITA E ESCADA DE INSPEÇÃO, EXCLUSIVE ESCAVAÇÃO, REATERRO E TAMPÃO.</t>
  </si>
  <si>
    <t>CAIXA DE PROTEÇÃO PARA VÁLVULA BORBOLETA - TIPO 04A - EM ESTRUTURA MISTA DE CONCRETO E ALVENARIA, PARA TUBULAÇÃO DN 350 A 400 MM, DIMENSÕES EXTERNAS 2,40X1,30X2,00 M (COMP X LARG X ALT), INCLUSIVE DRENO DE BRITA E ESCADA DE INSPEÇÃO, EXCLUSIVE ESCAVAÇÃO, REATERRO E TAMPÃO.</t>
  </si>
  <si>
    <t>CAIXA DE PROTEÇÃO PARA VÁLVULA BORBOLETA - TIPO 05A - EM ESTRUTURA MISTA DE CONCRETO E ALVENARIA, PARA TUBULAÇÃO DN 450 A 500 MM, DIMENSÕES EXTERNAS 2,50X1,30X2,15 M (COMP X LARG X ALT), INCLUSIVE DRENO DE BRITA E ESCADA DE INSPEÇÃO, EXCLUSIVE ESCAVAÇÃO, REATERRO E TAMPÃO.</t>
  </si>
  <si>
    <t>CAIXA DE PROTEÇÃO PARA VÁLVULA BORBOLETA - TIPO 06A - EM ESTRUTURA MISTA DE CONCRETO E ALVENARIA, PARA TUBULAÇÃO DN 600 MM, DIMENSÕES EXTERNAS 2,75X1,30X2,25 M (COMP X LARG X ALT), INCLUSIVE DRENO DE BRITA E ESCADA DE INSPEÇÃO, EXCLUSIVE ESCAVAÇÃO, REATERRO E TAMPÃO.</t>
  </si>
  <si>
    <t>CAIXA DE PROTEÇÃO PARA VÁLVULA BORBOLETA - TIPO 07A - EM ESTRUTURA MISTA DE CONCRETO E ALVENARIA, PARA TUBULAÇÃO DN 700 MM, DIMENSÕES EXTERNAS 3,00X1,50X2,35 M (COMP X LARG X ALT), INCLUSIVE DRENO DE BRITA E ESCADA DE INSPEÇÃO, EXCLUSIVE ESCAVAÇÃO, REATERRO E TAMPÃO.</t>
  </si>
  <si>
    <t>CAIXA DE PROTEÇÃO PARA VÁLVULA BORBOLETA - TIPO 08A - EM ESTRUTURA MISTA DE CONCRETO E ALVENARIA, PARA TUBULAÇÃO DN 800 MM, DIMENSÕES EXTERNAS 3,25X1,50X2,45 M (COMP X LARG X ALT), INCLUSIVE DRENO DE BRITA E ESCADA DE INSPEÇÃO, EXCLUSIVE ESCAVAÇÃO, REATERRO E TAMPÃO.</t>
  </si>
  <si>
    <t>CAIXA DE PROTEÇÃO PARA VÁLVULA BORBOLETA - TIPO 09A - EM ESTRUTURA MISTA DE CONCRETO E ALVENARIA, PARA TUBULAÇÃO DN 900 MM, DIMENSÕES EXTERNAS 3,50X1,50X2,55 M (COMP X LARG X ALT), INCLUSIVE DRENO DE BRITA E ESCADA DE INSPEÇÃO, EXCLUSIVE ESCAVAÇÃO, REATERRO E TAMPÃO.</t>
  </si>
  <si>
    <t>CAIXA DE PROTEÇÃO PARA VÁLVULA BORBOLETA - TIPO 10A - EM ESTRUTURA MISTA DE CONCRETO E ALVENARIA, PARA TUBULAÇÃO DN 1000 MM, DIMENSÕES EXTERNAS 3,60X1,50X2,65 M (COMP X LARG X ALT), INCLUSIVE DRENO DE BRITA E ESCADA DE INSPEÇÃO, EXCLUSIVE ESCAVAÇÃO, REATERRO E TAMPÃO.</t>
  </si>
  <si>
    <t>CAIXA DE PROTEÇÃO PARA VÁLVULA BORBOLETA - TIPO 01B - EM ESTRUTURA DE CONCRETO, PARA TUBULAÇÃO DN 50 A 100 MM, DIMENSÕES EXTERNAS 1,60X1,20X1,80 M (COMP X LARG X ALT), INCLUSIVE DRENO DE BRITA E ESCADA DE INSPEÇÃO, EXCLUSIVE ESCAVAÇÃO, REATERRO E TAMPÃO.</t>
  </si>
  <si>
    <t>CAIXA DE PROTEÇÃO PARA VÁLVULA BORBOLETA - TIPO 02B - EM ESTRUTURA DE CONCRETO, PARA TUBULAÇÃO DN 150 A 200 MM, DIMENSÕES EXTERNAS 1,75X1,40X1,90 M (COMP X LARG X ALT), INCLUSIVE DRENO DE BRITA E ESCADA DE INSPEÇÃO, EXCLUSIVE ESCAVAÇÃO, REATERRO E TAMPÃO.</t>
  </si>
  <si>
    <t>CAIXA DE PROTEÇÃO PARA VÁLVULA BORBOLETA - TIPO 03B - EM ESTRUTURA DE CONCRETO, PARA TUBULAÇÃO DN 250 A 300 MM, DIMENSÕES EXTERNAS 1,90X1,40X2,00 M (COMP X LARG X ALT), INCLUSIVE DRENO DE BRITA E ESCADA DE INSPEÇÃO, EXCLUSIVE ESCAVAÇÃO, REATERRO E TAMPÃO.</t>
  </si>
  <si>
    <t>CAIXA DE PROTEÇÃO PARA VÁLVULA BORBOLETA - TIPO 04B - EM ESTRUTURA DE CONCRETO, PARA TUBULAÇÃO DN 350 A 400 MM, DIMENSÕES EXTERNAS 2,50X1,40X2,10 M (COMP X LARG X ALT), INCLUSIVE DRENO DE BRITA E ESCADA DE INSPEÇÃO, EXCLUSIVE ESCAVAÇÃO, REATERRO E TAMPÃO.</t>
  </si>
  <si>
    <t>CAIXA DE PROTEÇÃO PARA VÁLVULA BORBOLETA - TIPO 05B - EM ESTRUTURA DE CONCRETO, PARA TUBULAÇÃO DN 450 A 500 MM, DIMENSÕES EXTERNAS 2,60X1,40X2,25 M (COMP X LARG X ALT), INCLUSIVE DRENO DE BRITA E ESCADA DE INSPEÇÃO, EXCLUSIVE ESCAVAÇÃO, REATERRO E TAMPÃO.</t>
  </si>
  <si>
    <t>CAIXA DE PROTEÇÃO PARA VÁLVULA BORBOLETA - TIPO 06B - EM ESTRUTURA DE CONCRETO, PARA TUBULAÇÃO DN 600 MM, DIMENSÕES EXTERNAS 2,85X1,40X2,35 M (COMP X LARG X ALT), INCLUSIVE DRENO DE BRITA E ESCADA DE INSPEÇÃO, EXCLUSIVE ESCAVAÇÃO, REATERRO E TAMPÃO.</t>
  </si>
  <si>
    <t>CAIXA DE PROTEÇÃO PARA VÁLVULA BORBOLETA - TIPO 07B - EM ESTRUTURA DE CONCRETO, PARA TUBULAÇÃO DN 700 MM, DIMENSÕES EXTERNAS 3,10X1,60X2,45 M (COMP X LARG X ALT), INCLUSIVE DRENO DE BRITA E ESCADA DE INSPEÇÃO, EXCLUSIVE ESCAVAÇÃO, REATERRO E TAMPÃO.</t>
  </si>
  <si>
    <t>CAIXA DE PROTEÇÃO PARA VÁLVULA BORBOLETA - TIPO 08B - EM ESTRUTURA DE CONCRETO, PARA TUBULAÇÃO DN 800 MM, DIMENSÕES EXTERNAS 3,35X1,60X2,55 M (COMP X LARG X ALT), INCLUSIVE DRENO DE BRITA E ESCADA DE INSPEÇÃO, EXCLUSIVE ESCAVAÇÃO, REATERRO E TAMPÃO.</t>
  </si>
  <si>
    <t>CAIXA DE PROTEÇÃO PARA VÁLVULA BORBOLETA - TIPO 09B - EM ESTRUTURA DE CONCRETO, PARA TUBULAÇÃO DN 900 MM, DIMENSÕES EXTERNAS 3,60X1,60X2,65 M (COMP X LARG X ALT), INCLUSIVE DRENO DE BRITA E ESCADA DE INSPEÇÃO, EXCLUSIVE ESCAVAÇÃO, REATERRO E TAMPÃO.</t>
  </si>
  <si>
    <t>CAIXA DE PROTEÇÃO PARA VÁLVULA BORBOLETA - TIPO 10B - EM ESTRUTURA DE CONCRETO, PARA TUBULAÇÃO DN 1000 MM, DIMENSÕES EXTERNAS 3,70X1,60X2,75 M (COMP X LARG X ALT), INCLUSIVE DRENO DE BRITA E ESCADA DE INSPEÇÃO, EXCLUSIVE ESCAVAÇÃO, REATERRO E TAMPÃO.</t>
  </si>
  <si>
    <t>CAIXA DE PROTEÇÃO PARA VENTOSA - TIPO 01A - EM ESTRUTURA MISTA DE CONCRETO E ALVENARIA, PARA TUBULAÇÃO DN 50 A 100 MM, DIMENSÕES EXTERNAS 1,40X1,10X1,50 M (COMP X LARG X ALT), INCLUSIVE DRENO DE BRITA E ESCADA DE INSPEÇÃO, EXCLUSIVE ESCAVAÇÃO, REATERRO E TAMPÃO.</t>
  </si>
  <si>
    <t>CAIXA DE PROTEÇÃO PARA VENTOSA - TIPO 02A - EM ESTRUTURA MISTA DE CONCRETO E ALVENARIA, PARA TUBULAÇÃO DN 150 A 200 MM, DIMENSÕES EXTERNAS 1,50X1,10X1,60 M (COMP X LARG X ALT), INCLUSIVE DRENO DE BRITA E ESCADA DE INSPEÇÃO, EXCLUSIVE ESCAVAÇÃO, REATERRO E TAMPÃO.</t>
  </si>
  <si>
    <t>CAIXA DE PROTEÇÃO PARA VENTOSA - TIPO 03A - EM ESTRUTURA MISTA DE CONCRETO E ALVENARIA, PARA TUBULAÇÃO DN 250 A 400 MM, DIMENSÕES EXTERNAS 1,65X1,10X1,80 M (COMP X LARG X ALT), INCLUSIVE DRENO DE BRITA E ESCADA DE INSPEÇÃO, EXCLUSIVE ESCAVAÇÃO, REATERRO E TAMPÃO.</t>
  </si>
  <si>
    <t>CAIXA DE PROTEÇÃO PARA VENTOSA - TIPO 04A - EM ESTRUTURA MISTA DE CONCRETO E ALVENARIA, PARA TUBULAÇÃO DN 450 A 600 MM, DIMENSÕES EXTERNAS 1,95X1,30X2,00 M (COMP X LARG X ALT), INCLUSIVE DRENO DE BRITA E ESCADA DE INSPEÇÃO, EXCLUSIVE ESCAVAÇÃO, REATERRO E TAMPÃO.</t>
  </si>
  <si>
    <t>CAIXA DE PROTEÇÃO PARA VENTOSA - TIPO 05A - EM ESTRUTURA MISTA DE CONCRETO E ALVENARIA, PARA TUBULAÇÃO DN 700 A 800 MM, DIMENSÕES EXTERNAS 2,20X1,30X2,30 M (COMP X LARG X ALT), INCLUSIVE DRENO DE BRITA E ESCADA DE INSPEÇÃO, EXCLUSIVE ESCAVAÇÃO, REATERRO E TAMPÃO.</t>
  </si>
  <si>
    <t>CAIXA DE PROTEÇÃO PARA VENTOSA - TIPO 06A - EM ESTRUTURA MISTA DE CONCRETO E ALVENARIA, PARA TUBULAÇÃO DN 900 A 1000 MM, DIMENSÕES EXTERNAS 2,40X1,30X2,70 M (COMP X LARG X ALT), INCLUSIVE DRENO DE BRITA E ESCADA DE INSPEÇÃO, EXCLUSIVE ESCAVAÇÃO, REATERRO E TAMPÃO.</t>
  </si>
  <si>
    <t>CAIXA DE PROTEÇÃO PARA VENTOSA - TIPO 01B - EM ESTRUTURA DE CONCRETO, PARA TUBULAÇÃO DN 50 A 100 MM, DIMENSÕES EXTERNAS 1,50X1,20X1,60 M (COMP X LARG X ALT), INCLUSIVE DRENO DE BRITA E ESCADA DE INSPEÇÃO, EXCLUSIVE ESCAVAÇÃO, REATERRO E TAMPÃO.</t>
  </si>
  <si>
    <t>CAIXA DE PROTEÇÃO PARA VENTOSA - TIPO 02B - EM ESTRUTURA DE CONCRETO, PARA TUBULAÇÃO DN 150 A 200 MM, DIMENSÕES EXTERNAS 1,60X1,20X1,70 M (COMP X LARG X ALT), INCLUSIVE DRENO DE BRITA E ESCADA DE INSPEÇÃO, EXCLUSIVE ESCAVAÇÃO, REATERRO E TAMPÃO.</t>
  </si>
  <si>
    <t>CAIXA DE PROTEÇÃO PARA VENTOSA - TIPO 03B - EM ESTRUTURA DE CONCRETO, PARA TUBULAÇÃO DN 250 A 400 MM, DIMENSÕES EXTERNAS 1,75x1,20X1,90 M (COMP X LARG X ALT), INCLUSIVE DRENO DE BRITA E ESCADA DE INSPEÇÃO, EXCLUSIVE ESCAVAÇÃO, REATERRO E TAMPÃO.</t>
  </si>
  <si>
    <t>CAIXA DE PROTEÇÃO PARA VENTOSA - TIPO 04B - EM ESTRUTURA DE CONCRETO, PARA TUBULAÇÃO DN 450 A 600 MM, DIMENSÕES EXTERNAS 2,05x1,40X2,10 M (COMP X LARG X ALT), INCLUSIVE DRENO DE BRITA E ESCADA DE INSPEÇÃO, EXCLUSIVE ESCAVAÇÃO, REATERRO E TAMPÃO.</t>
  </si>
  <si>
    <t>CAIXA DE PROTEÇÃO PARA VENTOSA - TIPO 05B - EM ESTRUTURA DE CONCRETO, PARA TUBULAÇÃO DN 700 A 800 MM, DIMENSÕES EXTERNAS 2,30x1,40X2,40 M (COMP X LARG X ALT), INCLUSIVE DRENO DE BRITA E ESCADA DE INSPEÇÃO, EXCLUSIVE ESCAVAÇÃO, REATERRO E TAMPÃO.</t>
  </si>
  <si>
    <t>CAIXA DE PROTEÇÃO PARA VENTOSA - TIPO 06B - EM ESTRUTURA DE CONCRETO, PARA TUBULAÇÃO DN 900 A 1000 MM, DIMENSÕES EXTERNAS 2,50x1,40X2,80 M (COMP X LARG X ALT), INCLUSIVE DRENO DE BRITA E ESCADA DE INSPEÇÃO, EXCLUSIVE ESCAVAÇÃO, REATERRO E TAMPÃO.</t>
  </si>
  <si>
    <t>CAIXA DE PROTEÇÃO PARA DESCARGA - TIPO 01A - EM ESTRUTURA MISTA DE CONCRETO E ALVENARIA, PARA TUBULAÇÃO DN 50 A 100 MM, DIMENSÕES EXTERNAS 1,50X1,35X1,85 M (COMP X LARG X ALT), INCLUSIVE DRENO DE BRITA E ESCADA DE INSPEÇÃO, EXCLUSIVE ESCAVAÇÃO, REATERRO E TAMPÃO.</t>
  </si>
  <si>
    <t>CAIXA DE PROTEÇÃO PARA DESCARGA - TIPO 02A - EM ESTRUTURA MISTA DE CONCRETO E ALVENARIA, PARA TUBULAÇÃO DN 150 A 200 MM, DIMENSÕES EXTERNAS 1,50X1,50X1,95 M (COMP X LARG X ALT), INCLUSIVE DRENO DE BRITA E ESCADA DE INSPEÇÃO, EXCLUSIVE ESCAVAÇÃO, REATERRO E TAMPÃO.</t>
  </si>
  <si>
    <t>CAIXA DE PROTEÇÃO PARA DESCARGA - TIPO 03A - EM ESTRUTURA MISTA DE CONCRETO E ALVENARIA, PARA TUBULAÇÃO DN 250 A 400 MM, DIMENSÕES EXTERNAS 1,80X1,60X2,25 M (COMP X LARG X ALT), INCLUSIVE DRENO DE BRITA E ESCADA DE INSPEÇÃO, EXCLUSIVE ESCAVAÇÃO, REATERRO E TAMPÃO.</t>
  </si>
  <si>
    <t>CAIXA DE PROTEÇÃO PARA DESCARGA - TIPO 04A - EM ESTRUTURA MISTA DE CONCRETO E ALVENARIA, PARA TUBULAÇÃO DN 450 A 600 MM, DIMENSÕES EXTERNAS 1,95X1,60X2,45 M (COMP X LARG X ALT), INCLUSIVE DRENO DE BRITA E ESCADA DE INSPEÇÃO, EXCLUSIVE ESCAVAÇÃO, REATERRO E TAMPÃO.</t>
  </si>
  <si>
    <t>CAIXA DE PROTEÇÃO PARA DESCARGA - TIPO 05A - EM ESTRUTURA MISTA DE CONCRETO E ALVENARIA, PARA TUBULAÇÃO DN 700 A 800 MM, DIMENSÕES EXTERNAS 2,20X1,60X2,75 M (COMP X LARG X ALT), INCLUSIVE DRENO DE BRITA E ESCADA DE INSPEÇÃO, EXCLUSIVE ESCAVAÇÃO, REATERRO E TAMPÃO.</t>
  </si>
  <si>
    <t>CAIXA DE PROTEÇÃO PARA DESCARGA - TIPO 06A - EM ESTRUTURA MISTA DE CONCRETO E ALVENARIA, PARA TUBULAÇÃO DN 900 A 1000 MM, DIMENSÕES EXTERNAS 2,40X1,70X3,00 M (COMP X LARG X ALT), INCLUSIVE DRENO DE BRITA E ESCADA DE INSPEÇÃO, EXCLUSIVE ESCAVAÇÃO, REATERRO E TAMPÃO.</t>
  </si>
  <si>
    <t>CAIXA DE PROTEÇÃO PARA DESCARGA - TIPO 01B -EM ESTRUTURA DE CONCRETO, PARA TUBULAÇÃO DN 50 A 100 MM, DIMENSÕES EXTERNAS 1,60X1,45X1,95 M (COMP X LARG X ALT), INCLUSIVE DRENO DE BRITA E ESCADA DE INSPEÇÃO, EXCLUSIVE ESCAVAÇÃO, REATERRO E TAMPÃO.</t>
  </si>
  <si>
    <t>CAIXA DE PROTEÇÃO PARA DESCARGA - TIPO 02B - EM ESTRUTURA DE CONCRETO, PARA TUBULAÇÃO DN 150 A 200 MM, DIMENSÕES EXTERNAS 1,60X1,60X2,05 M (COMP X LARG X ALT), INCLUSIVE DRENO DE BRITA E ESCADA DE INSPEÇÃO, EXCLUSIVE ESCAVAÇÃO, REATERRO E TAMPÃO.</t>
  </si>
  <si>
    <t>CAIXA DE PROTEÇÃO PARA DESCARGA - TIPO 03B - EM ESTRUTURA DE CONCRETO, PARA TUBULAÇÃO DN 250 A 400 MM, DIMENSÕES EXTERNAS 1,90X1,70X2,35 M (COMP X LARG X ALT), INCLUSIVE DRENO DE BRITA E ESCADA DE INSPEÇÃO, EXCLUSIVE ESCAVAÇÃO, REATERRO E TAMPÃO.</t>
  </si>
  <si>
    <t>CAIXA DE PROTEÇÃO PARA DESCARGA - TIPO 04B - EM ESTRUTURA DE CONCRETO, PARA TUBULAÇÃO DN 450 A 600 MM, DIMENSÕES EXTERNAS 2,05X1,70X2,55 M (COMP X LARG X ALT), INCLUSIVE DRENO DE BRITA E ESCADA DE INSPEÇÃO, EXCLUSIVE ESCAVAÇÃO, REATERRO E TAMPÃO.</t>
  </si>
  <si>
    <t>CAIXA DE PROTEÇÃO PARA DESCARGA - TIPO 05B - EM ESTRUTURA DE CONCRETO, PARA TUBULAÇÃO DN 700 A 800 MM, DIMENSÕES EXTERNAS 2,30X1,70X2,85 M (COMP X LARG X ALT), INCLUSIVE DRENO DE BRITA E ESCADA DE INSPEÇÃO, EXCLUSIVE ESCAVAÇÃO, REATERRO E TAMPÃO.</t>
  </si>
  <si>
    <t>CAIXA DE PROTEÇÃO PARA DESCARGA - TIPO 06B - EM ESTRUTURA DE CONCRETO, PARA TUBULAÇÃO DN 900 A 1000 MM, DIMENSÕES EXTERNAS 2,50X1,80X3,1 M (COMP X LARG X ALT), INCLUSIVE DRENO DE BRITA E ESCADA DE INSPEÇÃO, EXCLUSIVE ESCAVAÇÃO, REATERRO E TAMPÃO.</t>
  </si>
  <si>
    <t>CAIXA DE PROTEÇÃO PARA MEDIDOR DE VAZÃO - TIPO 01A - EM ESTRUTURA MISTA DE CONCRETO E ALVENARIA, PARA TUBULAÇÃO DN 50 A 200 MM, DIMENSÕES EXTERNAS 1,70X2,50X2,10 M (COMP X LARG X ALT), INCLUSIVE DRENO DE BRITA E ESCADA DE INSPEÇÃO, EXCLUSIVE ESCAVAÇÃO, REATERRO E TAMPÃO.</t>
  </si>
  <si>
    <t>CAIXA DE PROTEÇÃO PARA MEDIDOR DE VAZÃO - TIPO 02A - EM ESTRUTURA MISTA DE CONCRETO E ALVENARIA, PARA TUBULAÇÃO DN 250 A 450 MM, DIMENSÕES EXTERNAS 2,00X2,80X2,10 M (COMP X LARG X ALT), INCLUSIVE DRENO DE BRITA E ESCADA DE INSPEÇÃO, EXCLUSIVE ESCAVAÇÃO, REATERRO E TAMPÃO.</t>
  </si>
  <si>
    <t>CAIXA DE PROTEÇÃO PARA MEDIDOR DE VAZÃO - TIPO 03A - EM ESTRUTURA MISTA DE CONCRETO E ALVENARIA, PARA TUBULAÇÃO DN 500 MM, DIMENSÕES EXTERNAS 2,80X3,20X2,10 M (COMP X LARG X ALT), INCLUSIVE DRENO DE BRITA E ESCADA DE INSPEÇÃO, EXCLUSIVE ESCAVAÇÃO, REATERRO E TAMPÃO.</t>
  </si>
  <si>
    <t>CAIXA DE PROTEÇÃO PARA MEDIDOR DE VAZÃO - TIPO 04A - EM ESTRUTURA MISTA DE CONCRETO E ALVENARIA, PARA TUBULAÇÃO DN 600 MM, DIMENSÕES EXTERNAS 2,80X3,30X2,10 M (COMP X LARG X ALT), INCLUSIVE DRENO DE BRITA E ESCADA DE INSPEÇÃO, EXCLUSIVE ESCAVAÇÃO, REATERRO E TAMPÃO.</t>
  </si>
  <si>
    <t>CAIXA DE PROTEÇÃO PARA MEDIDOR DE VAZÃO - TIPO 05A - EM ESTRUTURA MISTA DE CONCRETO E ALVENARIA, PARA TUBULAÇÃO DN 700 MM, DIMENSÕES EXTERNAS 2,80X3,40X2,10 M (COMP X LARG X ALT), INCLUSIVE DRENO DE BRITA E ESCADA DE INSPEÇÃO, EXCLUSIVE ESCAVAÇÃO, REATERRO E TAMPÃO.</t>
  </si>
  <si>
    <t>CAIXA DE PROTEÇÃO PARA MEDIDOR DE VAZÃO - TIPO 06A - EM ESTRUTURA MISTA DE CONCRETO E ALVENARIA, PARA TUBULAÇÃO DN 800 MM, DIMENSÕES EXTERNAS 2,80X3,50X2,10 M (COMP X LARG X ALT), INCLUSIVE DRENO DE BRITA E ESCADA DE INSPEÇÃO, EXCLUSIVE ESCAVAÇÃO, REATERRO E TAMPÃO.</t>
  </si>
  <si>
    <t>CAIXA DE PROTEÇÃO PARA MEDIDOR DE VAZÃO - TIPO 07A - EM ESTRUTURA MISTA DE CONCRETO E ALVENARIA, PARA TUBULAÇÃO DN 900 MM, DIMENSÕES EXTERNAS 2,80X3,60X2,10 M (COMP X LARG X ALT), INCLUSIVE DRENO DE BRITA E ESCADA DE INSPEÇÃO, EXCLUSIVE ESCAVAÇÃO, REATERRO E TAMPÃO.</t>
  </si>
  <si>
    <t>CAIXA DE PROTEÇÃO PARA MEDIDOR DE VAZÃO - TIPO 08A - EM ESTRUTURA MISTA DE CONCRETO E ALVENARIA, PARA TUBULAÇÃO DN 1000 MM, DIMENSÕES EXTERNAS 2,80X3,70X2,10 M (COMP X LARG X ALT), INCLUSIVE DRENO DE BRITA E ESCADA DE INSPEÇÃO, EXCLUSIVE ESCAVAÇÃO, REATERRO E TAMPÃO.</t>
  </si>
  <si>
    <t>CAIXA DE PROTEÇÃO PARA MEDIDOR DE VAZÃO - TIPO 09A - EM ESTRUTURA MISTA DE CONCRETO E ALVENARIA, PARA TUBULAÇÃO DN 1100 MM, DIMENSÕES EXTERNAS 2,80X3,80X2,10 M (COMP X LARG X ALT), INCLUSIVE DRENO DE BRITA E ESCADA DE INSPEÇÃO, EXCLUSIVE ESCAVAÇÃO, REATERRO E TAMPÃO.</t>
  </si>
  <si>
    <t>CAIXA DE PROTEÇÃO PARA MEDIDOR DE VAZÃO - TIPO 10A - EM ESTRUTURA MISTA DE CONCRETO E ALVENARIA, PARA TUBULAÇÃO DN 1200 MM, DIMENSÕES EXTERNAS 2,80X3,90X2,10 M (COMP X LARG X ALT), INCLUSIVE DRENO DE BRITA E ESCADA DE INSPEÇÃO, EXCLUSIVE ESCAVAÇÃO, REATERRO E TAMPÃO.</t>
  </si>
  <si>
    <t>CAIXA DE PROTEÇÃO PARA MEDIDOR DE VAZÃO - TIPO 01B - EM ESTRUTURA DE CONCRETO, PARA TUBULAÇÃO DN 50 A 200 MM, DIMENSÕES EXTERNAS 2,00X2,90X2,30 M (COMP X LARG X ALT), INCLUSIVE DRENO DE BRITA E ESCADA DE INSPEÇÃO, EXCLUSIVE ESCAVAÇÃO, REATERRO E TAMPÃO.</t>
  </si>
  <si>
    <t>CAIXA DE PROTEÇÃO PARA MEDIDOR DE VAZÃO - TIPO 02B - EM ESTRUTURA DE CONCRETO, PARA TUBULAÇÃO DN 250 A 450 MM, DIMENSÕES EXTERNAS 2,40X2,90X2,30 M (COMP X LARG X ALT), INCLUSIVE DRENO DE BRITA E ESCADA DE INSPEÇÃO, EXCLUSIVE ESCAVAÇÃO, REATERRO E TAMPÃO.</t>
  </si>
  <si>
    <t>CAIXA DE PROTEÇÃO PARA MEDIDOR DE VAZÃO - TIPO 03B - EM ESTRUTURA DE CONCRETO, PARA TUBULAÇÃO DN 500 MM, DIMENSÕES EXTERNAS 2,90X3,30X2,30 M (COMP X LARG X ALT), INCLUSIVE DRENO DE BRITA E ESCADA DE INSPEÇÃO, EXCLUSIVE ESCAVAÇÃO, REATERRO E TAMPÃO.</t>
  </si>
  <si>
    <t>CAIXA DE PROTEÇÃO PARA MEDIDOR DE VAZÃO - TIPO 04B - EM ESTRUTURA DE CONCRETO, PARA TUBULAÇÃO DN 600 MM, DIMENSÕES EXTERNAS 2,90X3,40X2,30 M (COMP X LARG X ALT), INCLUSIVE DRENO DE BRITA E ESCADA DE INSPEÇÃO, EXCLUSIVE ESCAVAÇÃO, REATERRO E TAMPÃO.</t>
  </si>
  <si>
    <t>CAIXA DE PROTEÇÃO PARA MEDIDOR DE VAZÃO - TIPO 05B - EM ESTRUTURA DE CONCRETO, PARA TUBULAÇÃO DN 700 MM, DIMENSÕES EXTERNAS 2,90X3,50X2,30 M (COMP X LARG X ALT), INCLUSIVE DRENO DE BRITA E ESCADA DE INSPEÇÃO, EXCLUSIVE ESCAVAÇÃO, REATERRO E TAMPÃO.</t>
  </si>
  <si>
    <t>CAIXA DE PROTEÇÃO PARA MEDIDOR DE VAZÃO - TIPO 06B - EM ESTRUTURA DE CONCRETO, PARA TUBULAÇÃO DN 800 MM, DIMENSÕES EXTERNAS 2,90X3,60X2,30 M (COMP X LARG X ALT), INCLUSIVE DRENO DE BRITA E ESCADA DE INSPEÇÃO, EXCLUSIVE ESCAVAÇÃO, REATERRO E TAMPÃO.</t>
  </si>
  <si>
    <t>CAIXA DE PROTEÇÃO PARA MEDIDOR DE VAZÃO - TIPO 07B - EM ESTRUTURA DE CONCRETO, PARA TUBULAÇÃO DN 900 MM, DIMENSÕES EXTERNAS 2,90X3,90X2,30 M (COMP X LARG X ALT), INCLUSIVE DRENO DE BRITA E ESCADA DE INSPEÇÃO, EXCLUSIVE ESCAVAÇÃO, REATERRO E TAMPÃO.</t>
  </si>
  <si>
    <t>CAIXA DE PROTEÇÃO PARA MEDIDOR DE VAZÃO - TIPO 08B - EM ESTRUTURA DE CONCRETO, PARA TUBULAÇÃO DN 1000 MM, DIMENSÕES EXTERNAS 2,90X4,00X2,30 M (COMP X LARG X ALT), INCLUSIVE DRENO DE BRITA E ESCADA DE INSPEÇÃO, EXCLUSIVE ESCAVAÇÃO, REATERRO E TAMPÃO.</t>
  </si>
  <si>
    <t>CAIXA DE PROTEÇÃO PARA MEDIDOR DE VAZÃO - TIPO 09B - EM ESTRUTURA DE CONCRETO, PARA TUBULAÇÃO DN 1100 MM, DIMENSÕES EXTERNAS 2,90X4,10X2,30 M (COMP X LARG X ALT), INCLUSIVE DRENO DE BRITA E ESCADA DE INSPEÇÃO, EXCLUSIVE ESCAVAÇÃO, REATERRO E TAMPÃO.</t>
  </si>
  <si>
    <t>CAIXA DE PROTEÇÃO PARA MEDIDOR DE VAZÃO - TIPO 10B - EM ESTRUTURA DE CONCRETO, PARA TUBULAÇÃO DN 1200 MM, DIMENSÕES EXTERNAS 2,90X4,20X2,30 M (COMP X LARG X ALT), INCLUSIVE DRENO DE BRITA E ESCADA DE INSPEÇÃO, EXCLUSIVE ESCAVAÇÃO, REATERRO E TAMPÃO.</t>
  </si>
  <si>
    <t>CAIXA DE PROTEÇÃO PARA VÁLVULAS REDUTORAS DE PRESSÃO - TIPO 01A - EM ESTRUTURA MISTA DE CONCRETO E ALVENARIA, DIMENSÕES EXTERNAS 2,70X2,40X1,90 M (COMP X LARG X ALT), INCLUSIVE DRENO DE BRITA E ESCADA DE INSPEÇÃO, EXCLUSIVE ESCAVAÇÃO, REATERRO E TAMPÃO.</t>
  </si>
  <si>
    <t>CAIXA DE PROTEÇÃO PARA VÁLVULAS REDUTORAS DE PRESSÃO - TIPO 02A - EM ESTRUTURA MISTA DE CONCRETO E ALVENARIA, DIMENSÕES EXTERNAS 2,50X2,20X1,90 M (COMP X LARG X ALT), INCLUSIVE DRENO DE BRITA E ESCADA DE INSPEÇÃO, EXCLUSIVE ESCAVAÇÃO, REATERRO E TAMPÃO.</t>
  </si>
  <si>
    <t>CAIXA DE PROTEÇÃO PARA VÁLVULAS REDUTORAS DE PRESSÃO - TIPO 01B - EM ESTRUTURA DE CONCRETO, DIMENSÕES EXTERNAS 2,70X2,40X1,90 M (COMP X LARG X ALT), INCLUSIVE DRENO DE BRITA E ESCADA DE INSPEÇÃO, EXCLUSIVE ESCAVAÇÃO, REATERRO E TAMPÃO.</t>
  </si>
  <si>
    <t>CAIXA DE PROTEÇÃO PARA VÁLVULAS REDUTORAS DE PRESSÃO - TIPO 02B - EM ESTRUTURA DE CONCRETO, DIMENSÕES EXTERNAS 2,50X2,20X1,90 M (COMP X LARG X ALT), INCLUSIVE DRENO DE BRITA E ESCADA DE INSPEÇÃO, EXCLUSIVE ESCAVAÇÃO, REATERRO E TAMPÃO.</t>
  </si>
  <si>
    <t>LIMPEZA, DESINFECÇÃO E TESTE DE REDES DE ABASTECIMENTO DE ÁGUA</t>
  </si>
  <si>
    <t>LIMPEZA E TESTE DE REDES DE ESGOTOS SANITÁRIOS</t>
  </si>
  <si>
    <t>LIMPEZA E DESINFECÇÃO DE RESERVATORIO DE ÁGUA, CONFORME PROCEDIMENTOS COMPESA.</t>
  </si>
  <si>
    <t>CADASTRO DE REDE DE AGUA COM TOPOGRAFIA, INCLUSIVE CADASTRO NO SISTEMA COMPESA</t>
  </si>
  <si>
    <t>CADASTRO DE REDE DE ESGOTO COM TOPOGRAFIA, INCLUSIVE CADASTRO NO SISTEMA COMPESA</t>
  </si>
  <si>
    <t>IMPLANTAÇÃO DE PONTO GEODÉSICO EM ÁREA EXTERNA, INCLUSIVE MONUMENTALIZAÇÃO, DE ACORDO COM AS ESPECIFICAÇÕES TÉCNICAS DO SETOR DE CADASTRO TÉCNICO DA COMPESA.</t>
  </si>
  <si>
    <t>IMPLANTAÇÃO DE PONTO GEODÉSICO EM ÁREA INTERNA, INCLUSIVE MONUMENTALIZAÇÃO, DE ACORDO COM AS ESPECIFICAÇÕES TÉCNICAS DO SETOR DE CADASTRO TÉCNICO DA COMPESA.</t>
  </si>
  <si>
    <t>LEVANTAMENTO PLANIALTIMÉTRICO E CADASTRAL DE ÁREA URBANA PARA TRAVESSIAS, ESTAÇÕES ELEVATÓRIAS, ESTAÇÃO DE TRATAMENTO E RESERVATÓRIO, INCLUINDO DEMARCAÇÃO DA POLIGONAL, TRANSPORTE DE RN, TRANSPORTE DE COORDENADAS, IMPLANTAÇÃO DE TESTEMUNHOS E ELABORAÇÃO DE DESENHOS 1:250 E 1:100 COM CURVAS DE NÍVEL A CADA MEIO METRO - ÁREA ENTRE 2.001 E 10.000 M2</t>
  </si>
  <si>
    <t>LEVANTAMENTO PLANIALTIMÉTRICO E CADASTRAL DE ÁREA RURAL PARA TRAVESSIAS, ESTAÇÕES ELEVATÓRIAS, ESTAÇÃO DE TRATAMENTO E RESERVATÓRIO, INCLUINDO DEMARCAÇÃO DA POLIGONAL, TRANSPORTE DE RN, TRANSPORTE DE COORDENADAS, IMPLANTAÇÃO DE TESTEMUNHOS E ELABORAÇÃO DE DESENHOS 1:2000 E 1:500 COM CURVAS DE NÍVEL A CADA UM METRO - ÁREA ATÉ 1,2 HA</t>
  </si>
  <si>
    <t>LEVANTAMENTO PLANIALTIMÉTRICO E CADASTRAL DE ÁREA RURAL PARA TRAVESSIAS, ESTAÇÕES ELEVATÓRIAS, ESTAÇÃO DE TRATAMENTO E RESERVATÓRIO, INCLUINDO DEMARCAÇÃO DA POLIGONAL, TRANSPORTE DE RN, TRANSPORTE DE COORDENADAS, IMPLANTAÇÃO DE TESTEMUNHOS E ELABORAÇÃO DE DESENHOS 1:2000 E 1:500 COM CURVAS DE NÍVEL A CADA UM METRO - ÁREA ACIMA DE 1,2 HA</t>
  </si>
  <si>
    <t>LOCAÇÃO, NIVELAMENTO E CONTRANIVELAMENTO DE EIXO PIQUETEADO A CADA 20 METROS, COM FAIXAS DE LARGURA DE 20 METROS, INCLUINDO CURVAS DE NÍVEL DE METRO EM METRO, TRANSPORTE DE RN E IMPLANTAÇÃO DE TESTEMUNHO, CADASTRAMENTO DE INTERFERÊNCIAS, DESENHO NA ESCALA DE 1:2.000, PARA ADUTORAS. INCLUSIVE LEVANTAMENTO CADASTRAL AO LONGO DA ADUTORA</t>
  </si>
  <si>
    <t>PONTO DE ÁGUA PARA LAVATÓRIO, INCLUSIVE FORNECIMENTO DE LAVATÓRIO DE LOUÇA BRANCA, SEM COLUNA, E TORNEIRA DE PRESSÃO COM ACABAMENTO CROMADO DN -  1/2" E ACESSÓRIOS CORRESPONDENTES.</t>
  </si>
  <si>
    <t>PONTO DE ÁGUA PARA CHUVEIRO DE METAL DE 1/2", INCLUSIVE CHUVEIRO, REGISTRO, TUBOS E CONEXÕES.</t>
  </si>
  <si>
    <t>PONTO DE ÁGUA PARA TORNEIRA PARA JARDIM, INCLUSIVE TORNEIRA, TUBOS E CONEXÕES.</t>
  </si>
  <si>
    <t>FORNECIMENTO E INSTALAÇÃO DE CHUVEIRO PLÁSTICO BRANCO SIMPLES</t>
  </si>
  <si>
    <t>VASO SANITÁRIO SIFONADO LOUÇA BRANCA PADRÃO POPULAR, COM CONJUNTO PARA FIXAÇÃO PARA VASO SANITÁRIO COM PARAFUSO, ARRUELA E BUCHA - FORNECIMENTO E INSTALAÇÃO.</t>
  </si>
  <si>
    <t>MICTÓRIO COLETIVO DE AÇO INOXIDÁVEL</t>
  </si>
  <si>
    <t>MICTÓRIO DE LOUÇA BRANCA</t>
  </si>
  <si>
    <t>FORNECIMENTO E INSTALAÇÃO DE BACIA DE LOUÇA BRANCA C/ CAIXA ACOPLADA</t>
  </si>
  <si>
    <t>LAVATÓRIO LOUÇA BRANCA SUSPENSO, 29,5 X 39CM OU EQUIVALENTE, PADRÃO POPULAR, INCLUSO SIFÃO FLEXÍVEL EM PVC, VÁLVULA E ENGATE FLEXÍVEL 30CM EM PLÁSTICO E TORNEIRA CROMADA DE MESA, PADRÃO POPULAR - FORNECIMENTO E INSTALAÇÃO.</t>
  </si>
  <si>
    <t>PONTO DE ESGOTO PARA PIA OU LAVANDERIA, INCLUSIVE TUBULAÇÕES E CONEXÕES EM PVC  RÍGIDO  SOLDÁVEIS, ATÉ A COLUNA OU O SUB-COLETOR.</t>
  </si>
  <si>
    <t>PONTO DE ESGOTO PARA RALO SINFONADO, INCLUSIVE RALO, TUBOS E CONEXÕES ATÉ A COLUNA OU SUBCOLETOR.</t>
  </si>
  <si>
    <t>PONTO DE ESGOTO PARA VASO SANITÁRIO, INCLUSIVE TUBOS E CONEXÕES EM PVC ATÉ A COLUNA OU SUBCOLETOR.</t>
  </si>
  <si>
    <t>COLOCAÇÃO DE SUPORTE EM PLÁSTICO COM SOQUETE PARA INSTALAÇÃO NO TETO.</t>
  </si>
  <si>
    <t>FORNECIMENTO E ASSENTAMENTO DE CAIXA DE PASSAGEM METÁLICA DE 15X15X10CM P/ INSTALAÇÕES ELÉTRICAS</t>
  </si>
  <si>
    <t>FORNECIMENTO E ASSENTAMENTO DE CAIXA DE PASSAGEM METÁLICA DE 35X35X12CM P/ INSTALAÇÕES ELÉTRICAS</t>
  </si>
  <si>
    <t>FORNECIMENTO E ASSENTAMENTO DE CINTA GALVANIZADA DE 8"</t>
  </si>
  <si>
    <t>FORNECIMENTO E INSTALAÇÃO DE SISTEMA DE PROTEÇÃO CONTRA RAIOS CONSTANDO DE:
1) CAPTOR FRANKLIN DE LATÃO - 4 PONTAS COM 1 DESCIDA;
2) SUPORTE ISOLADOR COM UMA DESCIDA, BASE EM FERRO FUNDIDO PARA MASTRO DE 1 1/2", CONJUNTO DE ESTAIAMENTO DE 1 1/2", MASTRO DE FERRO GALVANIZADO DE 1 1/2" X 3,0 M;
3) SUPORTE DE 3/8" COM ROLDANAS PARA FIXAÇÃO DE CABO DE ATERRAMENTO, CABO DE COBRE NU DE 35MM2 À 50MM2 PARA ATERRAMENTO;
4) SUPORTES REFORÇADOS DE 3/8" PARA O TUBO DE PROTEÇÃO DO CABO, TUBO DE PVC MARROM PARA PROTEÇÃO DA CORDOALHA DE 2" X 3,00 M;
5) CAIXAS DE INSPEÇÕES DE FIO TERRA EM FERRO FUNDIDO COM TAMPA, TRÊS HASTES DE ATERRAMENTO COPPERWELD DE 3/4" X 2,40M COM CONECTORES, TUBOS CERÂMICOS PARA ESGOTO SANITÁRIO DE 300 MM.</t>
  </si>
  <si>
    <t>FORNECIMENTO E INSTALAÇÃO DE APARELHO SINALIZADOR DE OBSTÁCULOS COM LÂMPADA DE 60 W, INCLUSIVE BRAÇADEIRA PARA FIXAÇÃO.</t>
  </si>
  <si>
    <t>PONTO PARA AR-CONDICIONADO (JANELA E SPLIT)</t>
  </si>
  <si>
    <t>LUMINÁRIA TIPO CALHA, DE EMBUTIR, COM 4 LÂMPADAS FLUORESCENTES DE 14 W COM REFLETOR E REATOR DE PARTIDA - FORNECIMENTO E INSTALAÇÃO</t>
  </si>
  <si>
    <t>ATERRAMENTO COMPLETO C/ 01 HASTE COPPERWELD 5/8 POL X 3,00M COM CABO DE COBRE NU 35MM2-FORNECIMENTO E INSTALAÇÃO</t>
  </si>
  <si>
    <t>ATERRAMENTO COMPLETO C/ 03 HASTES COPPERWELD 5/8 POL X 3,00 M COM CABO DE COBRE NU 35MM2- FORNECIMENTO E INSTALAÇÃO</t>
  </si>
  <si>
    <t xml:space="preserve">INSTALAÇÃO DE CONDULETE TIPOS T OU X </t>
  </si>
  <si>
    <t xml:space="preserve">INSTALAÇÃO DE CONDULETE TIPO C - E - LL - LR - LB </t>
  </si>
  <si>
    <t xml:space="preserve">CONEXÃO DE CABOS COM CONECTOR SPLIT - BOLT P/ CABOS ATÉ 500MM2 </t>
  </si>
  <si>
    <t>FORNECIMENTO E INSTALAÇÃO DE CABO COBRE NU 10MM2</t>
  </si>
  <si>
    <t>FORNECIMENTO E INSTALAÇÃO DE CABO COBRE NU 16MM2</t>
  </si>
  <si>
    <t>FORNECIMENTO E INSTALAÇÃO DE CABO COBRE NU 25MM2</t>
  </si>
  <si>
    <t>FORNECIMENTO E INSTALAÇÃO DE CABO COBRE NU 120MM2</t>
  </si>
  <si>
    <t>INSTALAÇÃO CABO DE COBRE ISOLADO DE BT 1,5 MM2</t>
  </si>
  <si>
    <t>INSTALAÇÃO CABO DE COBRE ISOLADO DE BT 2,5 MM2</t>
  </si>
  <si>
    <t>INSTALAÇÃO CABO DE COBRE ISOLADO DE BT 4,0 MM2</t>
  </si>
  <si>
    <t>INSTALAÇÃO CABO DE COBRE ISOLADO DE BT 6,0 MM2</t>
  </si>
  <si>
    <t>INSTALAÇÃO CABO DE COBRE ISOLADO DE BT 10,0 MM2</t>
  </si>
  <si>
    <t>INSTALAÇÃO CABO DE COBRE ISOLADO DE BT 16,0 MM2</t>
  </si>
  <si>
    <t>INSTALAÇÃO CABO DE COBRE ISOLADO DE BT 25,0 MM2</t>
  </si>
  <si>
    <t>INSTALAÇÃO CABO DE COBRE ISOLADO DE BT 35,0 MM2</t>
  </si>
  <si>
    <t>INSTALAÇÃO CABO DE COBRE ISOLADO DE BT 50,0 MM2</t>
  </si>
  <si>
    <t>INSTALAÇÃO CABO DE COBRE ISOLADO DE BT 70,0 MM2</t>
  </si>
  <si>
    <t>INSTALAÇÃO CABO DE COBRE ISOLADO DE BT 95,0 MM2</t>
  </si>
  <si>
    <t>INSTALAÇÃO CABO DE COBRE ISOLADO DE BT 120,0 MM2</t>
  </si>
  <si>
    <t>INSTALAÇÃO CABO DE COBRE ISOLADO DE BT 150,0 MM2</t>
  </si>
  <si>
    <t>INSTALAÇÃO CABO DE COBRE ISOLADO DE BT 185,0 MM2</t>
  </si>
  <si>
    <t>INSTALAÇÃO CABO DE COBRE ISOLADO DE BT 240,0 MM2</t>
  </si>
  <si>
    <t>INSTALAÇÃO CABO DE COBRE ISOLADO DE BT 300,0 MM2</t>
  </si>
  <si>
    <t>INSTALAÇÃO CABO DE COBRE ISOLADO DE BT 400,0 MM2</t>
  </si>
  <si>
    <t>INSTALAÇÃO DE DISJUNTOR TRIPOLAR EM QUADRO DE DISTRIBUIÇÃO 125A À 150A</t>
  </si>
  <si>
    <t>INSTALAÇÃO DE DISJUNTOR TRIPOLAR EM CAIXA MOLDADA DE 250A À 600A</t>
  </si>
  <si>
    <t>FORNECIMENTO E INSTALAÇÃO DE DISJUNTOR DIFERENCIAL TETRAPOLAR DR-(25A), 30MA</t>
  </si>
  <si>
    <t>FORNECIMENTO E INSTALAÇÃO DE DISJUNTOR DIFERENCIAL TETRAPOLAR DR-(40A), 30MA</t>
  </si>
  <si>
    <t>FORNECIMENTO E INSTALAÇÃO DE DISJUNTOR DIFERENCIAL TETRAPOLAR DR-(63A), 30MA</t>
  </si>
  <si>
    <t>FORNECIMENTO E INSTALAÇÃO DE DISJUNTOR DIFERENCIAL TETRAPOLAR DR-(80A), 30MA</t>
  </si>
  <si>
    <t>FORNECIMENTO E INSTALAÇÃO DE DISJUNTOR DIFERENCIAL TETRAPOLAR DR-(100A), 30MA</t>
  </si>
  <si>
    <t>MONTAGEM DE ELETROCALHAS DE AÇO (15X15) À (100X100) MM</t>
  </si>
  <si>
    <t>MONTAGEM DE ELETROCALHAS DE AÇO (100X100) À (200X200) MM</t>
  </si>
  <si>
    <t>MONTAGEM DE ELETROCALHAS DE AÇO (200X200) À (800X300) MM</t>
  </si>
  <si>
    <t>MONTAGEM GRUPO GERADOR 25 A 60 KVA, COM QUADRO AUTOMÁTICO</t>
  </si>
  <si>
    <t>MONTAGEM GRUPO GERADOR 70 A 250 KVA, COM QUADRO AUTOMÁTICO</t>
  </si>
  <si>
    <t>MONTAGEM GRUPO GERADOR 310 A 710 KVA, COM QUADRO AUTOMÁTICO</t>
  </si>
  <si>
    <t xml:space="preserve">INSTALAÇÃO DE MÓDULO DE DISTRIBUIÇÃO/COMANDO P/ MOTOR PARTIDA INDIRETA, INCLUSIVE COMISSIONAMENTO 5 CV À 100 CV </t>
  </si>
  <si>
    <t xml:space="preserve">INSTALAÇÃO DE MÓDULO DE DISTRIBUIÇÃO/COMANDO P/ MOTOR PARTIDA INDIRETA, INCLUSIVE COMISSIONAMENTO 101 CV À 200 CV </t>
  </si>
  <si>
    <t xml:space="preserve">INSTALAÇÃO DE MÓDULO DE DISTRIBUIÇÃO/COMANDO P/ MOTOR PARTIDA INDIRETA, INCLUSIVE COMISSIONAMENTO 201 CV À 500 CV </t>
  </si>
  <si>
    <t xml:space="preserve">INSTALAÇÃO DE MÓDULO DE DISTRIBUIÇÃO/COMANDO P/ MOTOR PARTIDA INDIRETA, INCLUSIVE COMISSIONAMENTO 501 CV À 1000 CV </t>
  </si>
  <si>
    <t>MEDIÇÃO TRIFÁSICA INSTALADA EM MURO - RAMAL DE DISTRIBUIÇÃO SUBTERRÂNEO - COM CARGA INSTALADA ATÉ 24KW</t>
  </si>
  <si>
    <t>MEDIÇÃO TRIFÁSICA INSTALADA EM MURO - RAMAL DE DISTRIBUIÇÃO SUBTERRÂNEO - COM CARGA INSTALADA ENTRE 24,1KW A 37KW</t>
  </si>
  <si>
    <t xml:space="preserve">MEDIÇÃO TRIFÁSICA INSTALADA EM MURO - RAMAL DE DISTRIBUIÇÃO SUBTERRÂNEO - COM CARGA INSTALADA ENTRE 37,1KW A 42KW </t>
  </si>
  <si>
    <t xml:space="preserve">MEDIÇÃO TRIFÁSICA INSTALADA EM MURO - RAMAL DE DISTRIBUIÇÃO SUBTERRÂNEO - COM CARGA INSTALADA ENTRE 42,1KW A 48KW </t>
  </si>
  <si>
    <t>MEDIÇÃO TRIFÁSICA INSTALADA EM MURO - RAMAL DE DISTRIBUIÇÃO SUBTERRÂNEO - COM CARGA INSTALADA ENTRE 48,1KW A 60KW</t>
  </si>
  <si>
    <t xml:space="preserve">MEDIÇÃO TRIFÁSICA INSTALADA EM MURO - RAMAL DE DISTRIBUIÇÃO SUBTERRÂNEO - COM CARGA INSTALADA ENTRE 60,1KW A 75KW </t>
  </si>
  <si>
    <t>POSTE CONCRETO DUPLO T, 200KG, H=9M, COM 1 LUMINÁRIA PÚBLICA LED PÉTALA 50W CORPO EM ALUMÍNIO, INCLUSIVE EMBASAMENTO E ATERRAMENTO (FORNECIMENTO E INSTALAÇÃO)</t>
  </si>
  <si>
    <t>POSTE CONCRETO DUPLO T, 200KG, H=9M, COM 1 LUMINÁRIA PÚBLICA LED PÉTALA 100W CORPO EM ALUMÍNIO, INCLUSIVE EMBASAMENTO E ATERRAMENTO (FORNECIMENTO E INSTALAÇÃO)</t>
  </si>
  <si>
    <t>POSTE CONCRETO DUPLO T, 200KG, H=9M, COM 1 LUMINÁRIA PÚBLICA LED PÉTALA 150W CORPO EM ALUMÍNIO, INCLUSIVE EMBASAMENTO E ATERRAMENTO (FORNECIMENTO E INSTALAÇÃO)</t>
  </si>
  <si>
    <t>POSTE CONCRETO DUPLO T, 200KG, H=9M, COM 2 LUMINÁRIA PÚBLICA LED PÉTALA 50W CORPO EM ALUMÍNIO, INCLUSIVE EMBASAMENTO E ATERRAMENTO (FORNECIMENTO E INSTALAÇÃO)</t>
  </si>
  <si>
    <t>POSTE CONCRETO DUPLO T, 200KG, H=9M, COM 2 LUMINÁRIA PÚBLICA LED PÉTALA 100W CORPO EM ALUMÍNIO, INCLUSIVE EMBASAMENTO E ATERRAMENTO (FORNECIMENTO E INSTALAÇÃO)</t>
  </si>
  <si>
    <t>POSTE CONCRETO DUPLO T, 200KG, H=9M, COM 2 LUMINÁRIA PÚBLICA LED PÉTALA 150W CORPO EM ALUMÍNIO, INCLUSIVE EMBASAMENTO E ATERRAMENTO (FORNECIMENTO E INSTALAÇÃO)</t>
  </si>
  <si>
    <t>POSTE CONCRETO DUPLO T, TIPO B, 300KG, H=10M, COM 1 REFLETOR LED 100W INCLUSIVE EMBASAMENTO E ATERRAMENTO (FORNECIMENTO E INSTALAÇÃO)</t>
  </si>
  <si>
    <t>POSTE CONCRETO DUPLO T, TIPO B, 300KG, H=10M, COM 1 REFLETOR LED 200W INCLUSIVE EMBASAMENTO E ATERRAMENTO (FORNECIMENTO E INSTALAÇÃO)</t>
  </si>
  <si>
    <t>POSTE CONCRETO DUPLO T, TIPO B, 300KG, H=10M, COM 2 REFLETORES LED 100W INCLUSIVE EMBASAMENTO E ATERRAMENTO (FORNECIMENTO E INSTALAÇÃO)</t>
  </si>
  <si>
    <t>POSTE CONCRETO DUPLO T, TIPO B, 300KG, H=10M, COM 2 REFLETORES LED 200W INCLUSIVE EMBASAMENTO E ATERRAMENTO (FORNECIMENTO E INSTALAÇÃO)</t>
  </si>
  <si>
    <t>POSTE CONCRETO DUPLO T, 200KG, H=9M, COM 1 LUMINÁRIA PÚBLICA LED PÉTALA 200W CORPO EM ALUMÍNIO, INCLUSIVE EMBASAMENTO E ATERRAMENTO (FORNECIMENTO E INSTALAÇÃO)</t>
  </si>
  <si>
    <t>POSTE CONCRETO DUPLO T, 200KG, H=9M, COM 2 LUMINÁRIA PÚBLICA LED PÉTALA 200W CORPO EM ALUMÍNIO, INCLUSIVE EMBASAMENTO E ATERRAMENTO (FORNECIMENTO E INSTALAÇÃO)</t>
  </si>
  <si>
    <t>EXECUÇÃO DE SOLDA EXOTÉRMICA GT</t>
  </si>
  <si>
    <t>EXECUÇÃO DE SOLDA EXOTÉRMICA GX</t>
  </si>
  <si>
    <t>EXECUÇÃO DE SOLDA EXOTÉRMICA GY</t>
  </si>
  <si>
    <t>EXECUÇÃO DE SOLDA EXOTÉRMICA ND</t>
  </si>
  <si>
    <t>EXECUÇÃO DE SOLDA EXOTÉRMICA NT</t>
  </si>
  <si>
    <t>SUBESTAÇÃO AÉREA DE 15 À 45 KVA / 13.800-380/220V EM POSTE COM QUADRO DE MEDIÇÃO EM MURETA, PROTEÇÃO GERAL E ATERRAMENTO (PADRÃO CELPE)</t>
  </si>
  <si>
    <t>SUBESTAÇÃO AÉREA DE 75 À 112,5 KVA / 13.800-380/220V EM POSTE COM QUADRO DE MEDIÇÃO EM MURETA, PROTEÇÃO GERAL E ATERRAMENTO (PADRÃO CELPE)</t>
  </si>
  <si>
    <t xml:space="preserve">SUBESTAÇÃO AÉREA DE 150 À 300 KVA / 13.800-380/220V EM POSTE COM QUADRO DE MEDIÇÃO EM MURETA, PROTEÇÃO GERAL E ATERRAMENTO (PADRÃO CELPE) </t>
  </si>
  <si>
    <t>QUADRO DE DISTRIBUIÇÃO DE ENERGIA SOBREPOR DE 12 DIVISÕES, COMPLETO C/BARRAMENTO (FORNECIMENTO E INSTALAÇÃO)</t>
  </si>
  <si>
    <t>QUADRO DE DISTRIBUIÇÃO DE ENERGIA SOBREPOR DE 24 DIVISÕES, COMPLETO C/BARRAMENTO (FORNECIMENTO E INSTALAÇÃO)</t>
  </si>
  <si>
    <t>QUADRO DE DISTRIBUIÇÃO DE ENERGIA SOBREPOR DE 36 DIVISÕES, COMPLETO C/BARRAMENTO (FORNECIMENTO E INSTALAÇÃO)</t>
  </si>
  <si>
    <t>INSTALACAO DE CONJUNTO MOTOBOMBA EIXO HORIZONTAL ATE 10 CV</t>
  </si>
  <si>
    <t>INSTALACAO DE CONJUNTO MOTOBOMBA EIXO HORIZONTAL ACIMA DE 10 CV ATÉ 25 CV</t>
  </si>
  <si>
    <t>INSTALACAO DE CONJUNTO MOTOBOMBA EIXO HORIZONTAL ACIMA DE 25 CV ATÉ 75 CV</t>
  </si>
  <si>
    <t>INSTALACAO DE CONJUNTO MOTOBOMBA EIXO HORIZONTAL ACIMA DE 75 CV ATÉ 150 CV</t>
  </si>
  <si>
    <t>INSTALACAO DE CONJUNTO MOTOBOMBA EIXO HORIZONTAL ACIMA DE 150 CV ATÉ 250 CV</t>
  </si>
  <si>
    <t>INSTALACAO DE CONJUNTO MOTOBOMBA EIXO HORIZONTAL ACIMA DE 250 CV ATÉ 500 CV</t>
  </si>
  <si>
    <t>INSTALACAO DE CONJUNTO MOTOBOMBA EIXO HORIZONTAL ACIMA DE 500 CV ATÉ 600 CV</t>
  </si>
  <si>
    <t>INSTALACAO DE CONJUNTO MOTOBOMBA EIXO HORIZONTAL ACIMA DE 600 CV ATÉ 800 CV</t>
  </si>
  <si>
    <t>INSTALACAO DE CONJUNTO MOTOBOMBA EIXO VERTICAL ATÉ 100 CV</t>
  </si>
  <si>
    <t>INSTALACAO DE CONJUNTO MOTOBOMBA EIXO VERTICAL ACIMA DE 100 CV ATÉ 200CV</t>
  </si>
  <si>
    <t>INSTALACAO DE CONJUNTO MOTOBOMBA EIXO VERTICAL ACIMA DE 200CV ATÉ 300 CV</t>
  </si>
  <si>
    <t>FILTROS DE PRESSÃO, RETIRADA DE LEITOS FILTRANTES, LAVAGEM E CLASSIFICAÇÃO DOS SEIXOS RETIRADOS E COLOCAÇÃO DOS MESMOS.</t>
  </si>
  <si>
    <t>FILTRO RÁPIDO/GRAVIDADE, RETIRADA DE LEITOS FILTRANTES, LAVAGEM, CLASSIFICAÇÃO DOS SEIXOS RETIRADOS E COLOCAÇÃO DOS MESMOS.</t>
  </si>
  <si>
    <t>COLOCAÇÃO DE LEITOS FILTRANTES EM FILTROS DE PRESSÃO.</t>
  </si>
  <si>
    <t>COLOCAÇÃO DE LEITOS FILTRANTES EM FILTROS DE RÁPIDOS/GRAVIDADE.</t>
  </si>
  <si>
    <t>CONSERTO DE RAMAIS PREDIAIS DE ÁGUA DANIFICADOS DURANTE EXECUÇÃO DAS OBRAS.</t>
  </si>
  <si>
    <t>INSTALAÇÃO OU SUBSTITUIÇÃO DE RAMAL PREDIAL DE ESGOTO ATÉ 5,00 M SEM PAVIMENTO.</t>
  </si>
  <si>
    <t>METRO EXCEDENTE DA INSTALAÇÃO OU SUBSTITUIÇÃO DE RAMAL PREDIAL DE ESGOTO ATÉ 5,00 M SEM PAVIMENTO.</t>
  </si>
  <si>
    <t>INSTALAÇÃO OU SUBSTITUIÇÃO DE RAMAL PREDIAL DE ESGOTO ATÉ 5,00 M COM PAVIMENTO.</t>
  </si>
  <si>
    <t>METRO EXCEDENTE DA INSTALAÇÃO OU SUBSTITUIÇÃO DE RAMAL PREDIAL DE ESGOTO ATÉ 5,00 M COM PAVIMENTO.</t>
  </si>
  <si>
    <t>CONSERTO DE RAMAIS PREDIAIS DE ESGOTO DANIFICADOS DURANTE EXECUÇÃO DAS OBRAS.</t>
  </si>
  <si>
    <t>LIGAÇÃO INTRADOMICILIAR A PARTIR DA CAIXA DE LIGAÇÃO INTRA ATÉ A CAIXA DE INSPEÇÃO DO RAMAL NA CALÇADA, INCLUSIVE CAIXAS</t>
  </si>
  <si>
    <t>LIGAÇÃO INTRADOMICILIAR A PARTIR DA CAIXA DE LIGAÇÃO INTRA ATÉ A CAIXA DE INSPEÇÃO DO RAMAL NA CALÇADA PELO CORREDOR OU BECO LATERAL (TERRENO NATURAL), INCLUSIVE CAIXAS</t>
  </si>
  <si>
    <t>LIGAÇÃO INTRADOMICILIAR A PARTIR DA CAIXA DE LIGAÇÃO INTRA ATÉ A CAIXA DE INSPEÇÃO DO RAMAL NA CALÇADA EM PISO CIMENTADO, INCLUSIVE CAIXAS</t>
  </si>
  <si>
    <t>LIGAÇÃO INTRADOMICILIAR A PARTIR DA CAIXA DE LIGAÇÃO INTRA ATÉ A CAIXA DE INSPEÇÃO DO RAMAL NA CALÇADA EM PISO COM CERÂMICA, INCLUSIVE CAIXAS</t>
  </si>
  <si>
    <t>LIGAÇÃO INTRADOMICILIAR A PARTIR DA CAIXA DE LIGAÇÃO INTRA ATÉ A CAIXA DE INSPEÇÃO DO RAMAL NA CALÇADA EM PISO COM PORCELANATO, INCLUSIVE CAIXAS</t>
  </si>
  <si>
    <t>CERCA COM 9 FIOS DE ARAME FARPADO E MOURÕES DE CONCRETO ARMADO A CADA 2 METROS COM ALTURA ÚTIL DE 2,40 M; CONSTRUÇÃO.</t>
  </si>
  <si>
    <t>CERCA COM ESTACA DE MADEIRA SABIÁ, ESPAÇADAS DE 1,80 M, ALTURA ÚTIL 1,60 M, COM CINCO FIOS DE ARAME FARPADO; CONSTRUÇÃO.</t>
  </si>
  <si>
    <t>PLANTIO DE CAPIM SÂNDALO INCLUINDO PREPARO DE SOLO COM TERRA VEGETAL.</t>
  </si>
  <si>
    <t>PLANTIO DE GRAMA INGLESA INCLUINDO PREPARO DE SOLO COM TERRA VEGETAL.</t>
  </si>
  <si>
    <t>PLANTIO DE GRAMA ESMERALDA (EM TAPETE) INCLUINDO PREPARO DE SOLO COM ADUBOS MINERAIS E ORGÂNICOS.</t>
  </si>
  <si>
    <t>PLANTIO DE GRAMA ESMERALDA (EM TAPETE) INCLUINDO PREPARO DE SOLO COM TERRA VEGETAL.</t>
  </si>
  <si>
    <t>MURO COM MOURÕES A CADA 2,0M E PLACA PRÉ-FABRICADA DE CONCRETO ARMADO, ALTURA LIVRE 2,0M; CONSTRUÇÃO.</t>
  </si>
  <si>
    <t>MURO COM EMBASAMENTO DE 50 CM E ALTURA DA ALVENARIA DE ELEVAÇÃO DE 1,60M COM COLUNAS ESPAÇADAS DE 3 EM 3 METROS, INCLUSIVE ESCAVAÇÃO, REATERRO, REMOÇÃO DE MATERIAL ESCAVADO, CONCRETO MAGRO, CHAPISCO, MASSA ÚNICA E CAIAÇÃO; CONSTRUÇÃO.</t>
  </si>
  <si>
    <t>MURO COM EMBASAMENTO DE 50 CM E ALTURA DA ALVENARIA DE ELEVAÇÃO DE 1,80M COM COLUNAS ESPAÇADAS DE 3 EM 3 METROS, INCLUSIVE ESCAVAÇÃO, REATERRO, REMOÇÃO DE MATERIAL ESCAVADO, CONCRETO MAGRO, CHAPISCO, MASSA ÚNICA E CAIAÇÃO; CONSTRUÇÃO.</t>
  </si>
  <si>
    <t>MURO COM EMBASAMENTO DE 80 CM E ALTURA DE 3,00M COM COLUNAS A CADA 3 METROS, CINTAS INFERIORES E SUPERIORES,INCLUSIVE ESCAVAÇÃO, REATERRO, ESPALHAMENTO, CHAPISCO, REBOCO E CAIAÇÃO</t>
  </si>
  <si>
    <t>MURO COM BRISES EM CONCRETO PRE-MOLDADO, LARGURA 20CM E ESPESSURA 4CM, EMBASAMENTO DE 80 CM E ALTURA DE 3M, CINTAS INFERIORES E SUPERIORES,INCLUSIVE ESCAVAÇÃO, REATERRO, ESPALHAMENTO, CHAPISCO, REBOCO E CAIAÇÃO</t>
  </si>
  <si>
    <t>FORNECIMENTO E INSTALAÇÃO DE BRISES EM CONCRETO PRE-MOLDADO COM LARGURA DE 17CM E ESP.= 4,00CM</t>
  </si>
  <si>
    <t>PORTÃO TUBULAR, CONFORME PADRÃO COMPESA, EM FERRO GALVANIZADO DE 1 1/2", COM CONTRAVENTAMENTO EM TUBO DE FERRO GALVANIZADO DE 1" E COM TELA ARAMADA # 1" COM FIO Nº 10, INCLUSIVE DOBRADIÇAS, BATEDOR, FECHO, PINTURA E ASSENTAMENTO EM ESTRUTURA DE CONCRETO.</t>
  </si>
  <si>
    <t>CONFECÇÃO E MONTAGEM DE GUARDA-CORPO EM TUBO GALVANIZADO COM PONTA LISA DE 1 1/2", INCLUSIVE PINTURA COM ESMALTE SINTÉTICO EM DUAS DEMÃOS COM FUNDIDO ANTI-CORROSIVO, CONFORME PADRÃO COMPESA.</t>
  </si>
  <si>
    <t>RETIRADA DE GUARDA-CORPO</t>
  </si>
  <si>
    <t>FORNECIMENTO E COLOCAÇÃO DE GRADE DE FERRO PARA PROTEÇÃO EM PISO.</t>
  </si>
  <si>
    <t>FORNECIMENTO E MONTAGEM DE GRADE DE PROTEÇÃO EM BARRAS DE FERRO DE 1 POL X 3/8 POL</t>
  </si>
  <si>
    <t>MONOVIA COMPOSTA DE VIGA METÁLICA COM PILARES METÁLICOS, CAPACIDADE ATÉ 5T E  ELEVAÇÃO TOTAL ATÉ 6M INCLUSA PINTURA ANTICORROSIVA, INSTALAÇÃO DE TALHA E DE TROLLEY, EXCLUSO FORNECIMENTO DE TALHA E TROLLEY</t>
  </si>
  <si>
    <t>PATAMAR INTERMEDIÁRIO EM CHAPA DE AÇO INCLUSIVE GUARDA CORPO COM 1,2 M ALTURA</t>
  </si>
  <si>
    <t>PATAMAR INTERMEDIÁRIO EM BARRAS DE AÇO INCLUSIVE GUARDA CORPO COM 1,2 M ALTURA</t>
  </si>
  <si>
    <t>FORNECIMENTO E INSTALAÇÃO DE GUARDA CORPO EM FIBRA DE VIDRO RESINA OFFSHORE, ALTURA 1,10 M</t>
  </si>
  <si>
    <t>FORNECIMENTO E INSTALAÇÃO GRADE DE BARRAS DE FERRO CHATO,  E=9,53 MM, L= 38,1 MM E BARRAS PORTANTES DE 8 MM DE DIÂMETRO</t>
  </si>
  <si>
    <t>FORNECIMENTO E INSTALAÇÃO DE TAMPA DE INSPEÇÃO DE FERRO EM CHAPA DE 1/4",  INCLUSIVE CANTONEIRAS, ALÇA E DOBRADIÇAS</t>
  </si>
  <si>
    <t>FORNECIMENTO E INSTALAÇÃO DE TAMPA DE INSPEÇÃO EM FIBRA DE VIDRO, INCLUSIVE CANTONEIRAS, ALÇA E DOBRADIÇAS</t>
  </si>
  <si>
    <t>LIMPEZA DE CAIXA DE REUNIÃO DO LODO E/OU CAIXA DE AREIA.</t>
  </si>
  <si>
    <t>LIMPEZA DE LEITO DE SECAGEM.</t>
  </si>
  <si>
    <t>LIMPEZA DE POÇO ÚMIDO ATÉ 2M DE PROFUNDIDADE.</t>
  </si>
  <si>
    <t>LIMPEZA DE POÇO ÚMIDO DE MÉDIO PORTE DE 2 A 4M DE PROFUNDIDADE.</t>
  </si>
  <si>
    <t>LIMPEZA DE POÇO ÚMIDO ACIMA DE 4M DE PROFUNDIDADE.</t>
  </si>
  <si>
    <t>DESOBSTRUÇÃO E LIMPEZA MANUAL DE POÇO DE VISITA DN -  1,2M E PROFUNDIDADE ATÉ 4,0M.</t>
  </si>
  <si>
    <t>DESOBSTRUÇÃO E LIMPEZA MANUAL DO COLETOR DE ESGOTOS ATÉ 200MM.</t>
  </si>
  <si>
    <t>DESOBSTRUÇÃO E LIMPEZA MECANIZADA DE COLETOR DE ESGOTO ENTRE PV'S</t>
  </si>
  <si>
    <t>INSTALAÇÃO DE HIDRÔMETRO ATÉ 5 M3/H, NO MURO, COM CAIXA DE PROTEÇÃO COM CAIXA DE PROTEÇÃO EM POLIPROPILENO E KIT CONFORME E NTC-086 E NTC-201.</t>
  </si>
  <si>
    <t>INSTALAÇÃO DE HIDRÔMETRO ATÉ 5 M3/H, NA CALÇADA, COM CAIXA DE PROTEÇÃO COM CAIXA DE PROTEÇÃO EM POLIPROPILENO E KIT CONFORME E NTC-086 E NTC-201.</t>
  </si>
  <si>
    <t>INSTALAÇÃO DE HIDRÔMETRO ATÉ 5 M3/H, NO JARDIM, COM CAIXA DE PROTEÇÃO COM CAIXA DE PROTEÇÃO EM CONCRETO E KIT CONFORME NTC-201.</t>
  </si>
  <si>
    <t>INSTALAÇÃO DE HIDRÔMETRO A PARTIR DE 7 M3/H, NA CALÇADA, COM CAIXA DE PROTEÇÃO E TAMPA DE FERRO.</t>
  </si>
  <si>
    <t>INSTALAÇÃO DE HIDRÔMETRO DE ATÉ 20 M3/H, EM APARTAMENTO.</t>
  </si>
  <si>
    <t>SUBSTITUIÇÃO SIMPLES DE HIDRÔMETRO DE ATÉ 20 M3/H (JARDIM, MURO, CALÇADA OU APARTAMENTO).</t>
  </si>
  <si>
    <t>SUBSTITUIÇÃO DE HIDRÔMETRO DE ATÉ 20 M3/H, COM REMOÇÃO PARA O MURO.</t>
  </si>
  <si>
    <t>SUBSTITUIÇÃO DE HIDRÔMETRO DE ATÉ 20 M3/H, COM REMOÇÃO PARA A CALÇADA.</t>
  </si>
  <si>
    <t>SUBSTITUIÇÃO DE HIDRÔMETRO DE ATÉ 20 M3/H, COM LEVANTAMENTO DO CAVALETE.</t>
  </si>
  <si>
    <t>INSTALAÇÃO DE CAIXA EM POLIPROPILENO/POLICARBONATO P/ INSTALAÇÃO DE HIDRÔMETRODE NO MURO 442 X 306 X 122MM</t>
  </si>
  <si>
    <t>INSTALAÇÃO DE CAIXA EM POLIPROPILENO P/ INSTALAÇÃO DE HIDRÔMETRODE NA CALÇADA 315 X 165 X 170MM</t>
  </si>
  <si>
    <t>CORTE DO RAMAL PREDIAL DE ÁGUA COM TUBETE CEGO VERMELHO COM MOTO</t>
  </si>
  <si>
    <t>CORTE DO RAMAL PREDIAL DE ÁGUA COM BLOQUEADOR E ESCAVAÇÃO MANUAL COM DEMOLIÇÃO DE CALÇADA EM CONCRETO</t>
  </si>
  <si>
    <t>SUPRESSÃO DE RAMAL PREDIAL DE ÁGUA COMPLETA ATÉ O COLAR DE TOMADA COM ESCAVAÇÃO MANUAL (REDE MESTRE SEM RECOMPOSIÇÃO DE PAVIMENTO)</t>
  </si>
  <si>
    <t>CADASTRO EM OBRAS CIVIS, INCLUSIVE VALIDACAO E/OU COLETA DOS DADOS COMERCIAIS, GEOREFERENCIAMENTO E REAMBULACAO</t>
  </si>
  <si>
    <t>MANUTENCAO DE MUDAS NATIVAS PLANTADAS INCLUSIVE ADUBACAO, PODAS E CONTROLE DE PRAGAS</t>
  </si>
  <si>
    <t>MANUTENÇÃO DE MUDAS PARA MANGUE</t>
  </si>
  <si>
    <t>ANALISE FISICO-QUIMICA E BACTERIOLOGICA COMPLETA DE AGUA BRUTA PARA LICENCIAMENTO AMBIENTAL DE POCO TUBULAR PROFUNDIDO COM REVESTIMENTO EM PVC NO INTERIOR DO ESTADO E NA RMR</t>
  </si>
  <si>
    <t>HA</t>
  </si>
  <si>
    <t>M3XMES</t>
  </si>
  <si>
    <t xml:space="preserve">HA </t>
  </si>
  <si>
    <t>HAXMES</t>
  </si>
  <si>
    <t>ON-LINE</t>
  </si>
  <si>
    <t>001510</t>
  </si>
  <si>
    <t>022/23</t>
  </si>
  <si>
    <t>W03939409</t>
  </si>
  <si>
    <t>S/N</t>
  </si>
  <si>
    <t>0116/J3</t>
  </si>
  <si>
    <t>FGS-86245</t>
  </si>
  <si>
    <t>1.19.17837</t>
  </si>
  <si>
    <t>1653/2022</t>
  </si>
  <si>
    <t>TIPO DE MATERIAL</t>
  </si>
  <si>
    <t>MATERIAL ELÉTRICO</t>
  </si>
  <si>
    <t>PARAFUSOS</t>
  </si>
  <si>
    <t>Senha:</t>
  </si>
  <si>
    <t>COMPESACOR2022</t>
  </si>
  <si>
    <t>Critérios de Discrepância</t>
  </si>
  <si>
    <t>MARGEM</t>
  </si>
  <si>
    <t>Limite do Coef. De Variação</t>
  </si>
  <si>
    <t>Lei 14.133/2021</t>
  </si>
  <si>
    <t>STJ</t>
  </si>
  <si>
    <t>DISCREPÂNCIA</t>
  </si>
  <si>
    <t>CRITÉRIO</t>
  </si>
  <si>
    <t>Critérios de Medidas</t>
  </si>
  <si>
    <t>Média</t>
  </si>
  <si>
    <t>NENHUM</t>
  </si>
  <si>
    <t>Mediana</t>
  </si>
  <si>
    <t>Menor Preço</t>
  </si>
  <si>
    <t>Moda</t>
  </si>
  <si>
    <t>PREÇO</t>
  </si>
  <si>
    <t>Média Final</t>
  </si>
  <si>
    <t>COLETA 6</t>
  </si>
  <si>
    <t>(R$)</t>
  </si>
  <si>
    <t>Cod.</t>
  </si>
  <si>
    <t>Nome</t>
  </si>
  <si>
    <t>Proposta</t>
  </si>
  <si>
    <t>Data</t>
  </si>
  <si>
    <t>Status</t>
  </si>
  <si>
    <t>G 0039/2023</t>
  </si>
  <si>
    <t>022074</t>
  </si>
  <si>
    <t>0226/23</t>
  </si>
  <si>
    <t>s/n</t>
  </si>
  <si>
    <t>G003.518C</t>
  </si>
  <si>
    <t xml:space="preserve"> 018574 - REV.0001 - EMP.06</t>
  </si>
  <si>
    <t>355/22</t>
  </si>
  <si>
    <t xml:space="preserve">06323-23 </t>
  </si>
  <si>
    <t>VALOR</t>
  </si>
  <si>
    <t>DESVIO PADRÃO</t>
  </si>
  <si>
    <t>COEFICIENTE DE VARIAÇÃO</t>
  </si>
  <si>
    <t>160110U</t>
  </si>
  <si>
    <t>CIMENTO ASFALTICO DE PETROLEO (CAP) 50/70 (COM ICMS)</t>
  </si>
  <si>
    <t>ORSE</t>
  </si>
  <si>
    <t>TUBO METÁLICO EQUIPADO PARA CIMBRAMENTO - LOCAÇÃO (DIÂMETRO DA SEÇÃO: 1 1/2 ")</t>
  </si>
  <si>
    <t>M/MÊS</t>
  </si>
  <si>
    <t>ORSE-6870</t>
  </si>
  <si>
    <t>800113U</t>
  </si>
  <si>
    <t>12.01.07U</t>
  </si>
  <si>
    <t>12.01.08U</t>
  </si>
  <si>
    <t>LOCAÇÃO DE CIMBRAMENTO METÁLICO TUBULAR</t>
  </si>
  <si>
    <t>MONTAGEM E DESMONTAGEM DE CIMBRAMENTO METÁLICO TUBULAR</t>
  </si>
  <si>
    <t>02.05.53U</t>
  </si>
  <si>
    <t>D019500011</t>
  </si>
  <si>
    <t>010220U</t>
  </si>
  <si>
    <t>ATERRO COM AREIA EM CAMADAS DE ATÉ 20 CM DE ESPESSURA, UTILIZANDO-SE O PROCESSO MECÂNICO  LEVE PARA COMPACTAÇÃO, INCLUSIVE ADENSAMENTO HIDRÁULICO, CARGA, DESCARGA E TRANSPORTE ( POSTO OBRA ).</t>
  </si>
  <si>
    <t>PINTURA SUPER CONCRETINA</t>
  </si>
  <si>
    <t>DEMOLIÇÃO DE CALÇADA EM PISO CIMENTADO</t>
  </si>
  <si>
    <t>LEVANTAMENTO PLANIALTIMÉTRICO E CADASTRAL DE ÁREA URBANA PARA TRAVESSIAS, ESTAÇÕES ELEVATÓRIAS, ESTAÇÃO DE TRATAMENTO E RESERVATÓRIO, INCLUINDO DEMARCAÇÃO DA POLIGONAL, TRANSPORTE DE RN, TRANSPORTE DE COORDENADAS, IMPLANTAÇÃO DE TESTEMUNHOS E ELABORAÇÃO DE DESENHOS 1:250 E 1:100 COM CURVAS DE NÍVEL A CADA MEIO METRO - ÁREA ATÉ 2000 M2</t>
  </si>
  <si>
    <t>27.04.08U</t>
  </si>
  <si>
    <t>LOCAÇÃO E NIVELAMENTO DE VALAS PARA ADUTORAS OU REDES DE DISTRIBUIÇÃO COM USO DE EQUIPAMENTOS TOPOGRÁFICOS.</t>
  </si>
  <si>
    <t>01.05.09U</t>
  </si>
  <si>
    <t>SERRA CIRCULAR DE BANCADA COM MOTOR ELÉTRICO POTÊNCIA DE 5HP, COM COIFA PARA DISCO 10"</t>
  </si>
  <si>
    <t>01.02.08U</t>
  </si>
  <si>
    <t>ESCAVAÇÃO MECANIZADA EM MATERIAL DE PRIMEIRA E/OU SEGUNDA CATEGORIA E EM SOLOS MOLES</t>
  </si>
  <si>
    <t>02.03.27U</t>
  </si>
  <si>
    <t>02.03.28U</t>
  </si>
  <si>
    <t>02.03.29U</t>
  </si>
  <si>
    <t>02.03.30U</t>
  </si>
  <si>
    <t>02.03.31U</t>
  </si>
  <si>
    <t>INDENIZAÇÃO DE JAZIDA, INCLUSIVE MATERIAL NÃO COMERCIAL</t>
  </si>
  <si>
    <t>INATIVO</t>
  </si>
  <si>
    <t>IMPRIMAÇÃO MANUAL EM VALAS COM CM-30, TAXA DE 1,2 KG/M2.</t>
  </si>
  <si>
    <t>IMPRIMAÇÃO MECÂNICA EM VALAS COM CM-30, TAXA DE 1,2 KG/M2.</t>
  </si>
  <si>
    <t>08.01.24U</t>
  </si>
  <si>
    <t>160111U</t>
  </si>
  <si>
    <t>CONCRETO BETUMINOSO USINADO A QUENTE (CBUQ) PARA PAVIMENTACAO ASFALTICA, PADRAO DNIT, FAIXA C, COM CAP 50/70 - POSTO OBRA</t>
  </si>
  <si>
    <t>REVESTIMENTO ASFÁLTICO COM PRE-MISTURADO A FRIO FINO OU GROSSO, PARA FECHAMENTO DE VALAS, INCLUSIVE FORNECIMENTO DO MATERIAL, ESPALHAMENTO E COMPACTAÇÃO.</t>
  </si>
  <si>
    <t>31.01.06U</t>
  </si>
  <si>
    <t>31.01.07U</t>
  </si>
  <si>
    <t>31.01.08U</t>
  </si>
  <si>
    <t>METRO EXCEDENTE PARA INSTALAÇÃO OU SUBSTITUIÇÃO DE RAMAL PREDIAL DE ÁGUA, INCLUINDO ESCAVAÇÃO E REATERRO.</t>
  </si>
  <si>
    <t>INSTALAÇÃO OU SUBSTITUIÇÃO DE RAMAL PREDIAL DE ÁGUA ATÉ 4,00 M DE EXTENSÃO, COM INSTALAÇÃO DE HIDRÔMETRO NO JARDIM OU CALÇADA, CONFORME PADRÃO COMPESA, INCLUINDO ESCAVAÇÃO E REATERRO.</t>
  </si>
  <si>
    <t>INSTALAÇÃO OU SUBSTITUIÇÃO DE RAMAL PREDIAL DE ÁGUA ATÉ 4,00 M DE EXTENSÃO, COM INSTALAÇÃO DE HIDRÔMETRO NO MURO, CONFORME PADRÃO COMPESA, INCLUINDO ESCAVAÇÃO, REATERRO, DEMOLIÇÃO DE ALVENARIA E ACABAMENTO COM MASSA ÚNICA.</t>
  </si>
  <si>
    <t>DES/GPE</t>
  </si>
  <si>
    <t>900278U</t>
  </si>
  <si>
    <t>ESTACA DE MADEIRA SABIÁ, ALTURA ÚTIL 1,60 M E BITOLA DE 11CM</t>
  </si>
  <si>
    <t>TAMPA DE FERRO FUNDIDO PARA HIDROMETRO</t>
  </si>
  <si>
    <t>MOSQUETÃO EM AÇO PARA RAPEL</t>
  </si>
  <si>
    <t>POLIA SIMPLES, EM AÇO</t>
  </si>
  <si>
    <t>POLIA DUPLA, EM AÇO</t>
  </si>
  <si>
    <t>ENGENHEIRO AGRIMENSOR JUNIOR</t>
  </si>
  <si>
    <t>VEÍCULO UTILITÁRIO LEVE COM COMBUSTIVEL, MANUTENÇÃO E SEGURO</t>
  </si>
  <si>
    <t>INSUMO DESCONTINUADO - USANDO SINAPI DIRETO NAS COMPOSIÇÕES</t>
  </si>
  <si>
    <t>CADASTRO</t>
  </si>
  <si>
    <t>PLACA DE MANUTENÇÃO DE OBRA (1,20 X1,10M) EM CHAPA GALVANIZADA Nº 16, CONFORME PADRÃO COMPESA (FORNECIMENTO E FIXAÇÃO)</t>
  </si>
  <si>
    <t>ESCAVAÇÃO, CARGA E TRANSPORTE DE SOLO MOLE COM ESCAVADEIRA HIDRÁULICA - DMT: 0 ATÉ 200 M.</t>
  </si>
  <si>
    <t>ESCAVAÇÃO, CARGA E TRANSPORTE DE SOLO MOLE COM ESCAVADEIRA HIDRÁULICA - DMT: 201 ATÉ 400 M.</t>
  </si>
  <si>
    <t>ESCAVAÇÃO, CARGA E TRANSPORTE DE SOLO MOLE COM ESCAVADEIRA HIDRÁULICA - DMT: 401 ATÉ 600 M.</t>
  </si>
  <si>
    <t>ESCAVAÇÃO, CARGA E TRANSPORTE DE SOLO MOLE COM ESCAVADEIRA HIDRÁULICA - DMT: 601 ATÉ 800 M.</t>
  </si>
  <si>
    <t>ESCAVAÇÃO, CARGA E TRANSPORTE DE SOLO MOLE COM ESCAVADEIRA HIDRÁULICA - DMT: 801 ATÉ 1.000 M.</t>
  </si>
  <si>
    <t>ATERRO COM AREIA EM CAMADAS DE ATÉ 40 CM DE ESPESSURA, UTILIZANDO-SE PROCESSO MECÂNICO LEVE PARA A COMPACTAÇÃO, INCLUSIVE CARGA, DESCARGA E TRANSPORTE ( POSTO OBRA ).</t>
  </si>
  <si>
    <t>ATERRO COM PÓ DE PEDRA EM CAMADAS DE ATÉ 40 CM DE ESPESSURA, UTILIZANDO-SE PROCESSO MECÂNICO LEVE PARA A COMPACTAÇÃO, INCLUSIVE CARGA, DESCARGA E TRANSPORTE ( POSTO OBRA ).</t>
  </si>
  <si>
    <t>ATERRO COM PÓ DE PEDRA EM CAMADAS DE ATÉ 40 CM DE ESPESSURA, UTILIZANDO-SE PROCESSO MECÂNICO LEVE PARA A COMPACTAÇÃO, INCLUSIVE ADENSAMENTO HIDRÁULICO, CARGA, DESCARGA E TRANSPORTE ( POSTO OBRA ).</t>
  </si>
  <si>
    <t>REATERRO MANUAL SEM COMPACTAÇÃO.</t>
  </si>
  <si>
    <t>ATERRO MANUAL SEM COMPACTAÇÃO COM MATERIAL ARGILO ARENOSO</t>
  </si>
  <si>
    <t>ATERRO MANUAL SEM COMPACTAÇÃO COM AREIA.</t>
  </si>
  <si>
    <t>REATERRO E ATERRO MANUAL</t>
  </si>
  <si>
    <t>ATERRO MANUAL SEM COMPACTAÇÃO COM PÓ DE PEDRA, INCLUSIVE FORNECIMENTO DO MATERIAL.</t>
  </si>
  <si>
    <t>PASSEIO EM LAJOTA DE CONCRETO 50 CM X 50 CM, APLICADO SOBRE TERRENO, INCLUSIVE SUA REGULARIZAÇÃO.</t>
  </si>
  <si>
    <t>REPOSIÇÃO DE PLACA PRE-MOLDADA DE CONCRETO, SOBRE COXIM DE AREIA COM 5 CM DE ESPESSURA, REJUNTADO COM ASFALTO (EXCLUSO O PRE-MOLDADO).</t>
  </si>
  <si>
    <t>ARGAMASSA DE CIMENTO E AREIA PENEIRADA NO TRAÇO 1:2; PREPARO MANUAL.</t>
  </si>
  <si>
    <t>ARGAMASSA DE CIMENTO E AREIA SEM PENEIRAR NO TRAÇO 1:5; PREPARO MANUAL.</t>
  </si>
  <si>
    <t>ARGAMASSA DE CIMENTO E AREIA SEM PENEIRAR NO TRAÇO  1:8; PREPARO MANUAL.</t>
  </si>
  <si>
    <t>ARGAMASSA DE CIMENTO E AREIA SEM PENEIRAR NO TRAÇO 1:10; PREPARO MANUAL.</t>
  </si>
  <si>
    <t>PRFV</t>
  </si>
  <si>
    <t>SIGLA</t>
  </si>
  <si>
    <t>ADMINISTRATIVO</t>
  </si>
  <si>
    <t>ADM</t>
  </si>
  <si>
    <t>CLORETO DE POLIVINILA CLORADO</t>
  </si>
  <si>
    <t>CPVC</t>
  </si>
  <si>
    <t>CONJUNTO MOTOR-BOMBA</t>
  </si>
  <si>
    <t>CMB</t>
  </si>
  <si>
    <t>ELETROCALHAS</t>
  </si>
  <si>
    <t>FERRO FUNDIDO</t>
  </si>
  <si>
    <t>FOFO</t>
  </si>
  <si>
    <t>GRUPO GERADOR</t>
  </si>
  <si>
    <t>GERADOR</t>
  </si>
  <si>
    <t>HIDROPNEUMÁTICO</t>
  </si>
  <si>
    <t>ELÉTRICO</t>
  </si>
  <si>
    <t>PLÁSTICO REFORÇADO COM FIBRA DE VIDRO</t>
  </si>
  <si>
    <t>POLIACETATO DE VINILA</t>
  </si>
  <si>
    <t>PVA</t>
  </si>
  <si>
    <t>POLICLORETO DE VINILA</t>
  </si>
  <si>
    <t>PVC</t>
  </si>
  <si>
    <t>POLICLORETO DE VINILA MODIFICADO</t>
  </si>
  <si>
    <t>MPVC (DEFOFO)</t>
  </si>
  <si>
    <t>POLIESTIRENO EXPANDIDO</t>
  </si>
  <si>
    <t>EPS (ISOPOR)</t>
  </si>
  <si>
    <t>POLIETILENO DE ALTA DENSIDADE</t>
  </si>
  <si>
    <t>PEAD</t>
  </si>
  <si>
    <t>POLIETILENO DE BAIXA DENSIDADE</t>
  </si>
  <si>
    <t>PEBD</t>
  </si>
  <si>
    <t>POLIETILENO RETICULADO</t>
  </si>
  <si>
    <t>PEX</t>
  </si>
  <si>
    <t>POLIETILENO TEREFTALATO</t>
  </si>
  <si>
    <t>PET</t>
  </si>
  <si>
    <t>POLIPROPILENO COPOLÍMERO RANDOM</t>
  </si>
  <si>
    <t>PPR</t>
  </si>
  <si>
    <t>POLIPROPILENO EXPANDIDO</t>
  </si>
  <si>
    <t>PPS (ISOPOR)</t>
  </si>
  <si>
    <t>POLIURETANO</t>
  </si>
  <si>
    <t>PU</t>
  </si>
  <si>
    <t>QUADRO DE AUTOMAÇÃO</t>
  </si>
  <si>
    <t>QAUT</t>
  </si>
  <si>
    <t>QUADRO DE COMANDO</t>
  </si>
  <si>
    <t>QCOM</t>
  </si>
  <si>
    <t>QUADRO DE DISTRIBUIÇÃO</t>
  </si>
  <si>
    <t>QDIS</t>
  </si>
  <si>
    <t>RESERVATÓRIOS METÁLICOS</t>
  </si>
  <si>
    <t>RESERVATÓRIO M</t>
  </si>
  <si>
    <t>SISTEMA DE PROTEÇÃO CONTRA DESCARGAS ATMOSFÉRICAS</t>
  </si>
  <si>
    <t>SPDA</t>
  </si>
  <si>
    <t>TERMOPLÁSTICO DE POLIURETANO</t>
  </si>
  <si>
    <t>TPU</t>
  </si>
  <si>
    <t>TRANSFORMADORES</t>
  </si>
  <si>
    <t>TRANSFORMADOR</t>
  </si>
  <si>
    <t>VÁLVULA CONTROLADORA DE NÍVEL</t>
  </si>
  <si>
    <t>VCN</t>
  </si>
  <si>
    <t>VÁLVULA REDUTORA DE PRESSÃO</t>
  </si>
  <si>
    <t>VRP</t>
  </si>
  <si>
    <t>VENTOSA</t>
  </si>
  <si>
    <t>VÁLVULAS: GAVETA, RETENÇÃO, BORBOLETA</t>
  </si>
  <si>
    <t>VÁLVULAS</t>
  </si>
  <si>
    <t>ÍNDICES DE ATUALIZAÇÃO DE PREÇO (I):</t>
  </si>
  <si>
    <t>CÓDIGO DO ÍNDICE</t>
  </si>
  <si>
    <t>REFERÊNCIA</t>
  </si>
  <si>
    <t>DATA-BASE DO ORÇAMENTO</t>
  </si>
  <si>
    <t>VALOR DA CESTA NO ORÇAMENTO</t>
  </si>
  <si>
    <t>DATA-BASE DA COTAÇÃO</t>
  </si>
  <si>
    <t>VALOR DA CESTA NA COTAÇÃO</t>
  </si>
  <si>
    <t>COEFICIENTE DE RETROAÇÃO</t>
  </si>
  <si>
    <t/>
  </si>
  <si>
    <t>S</t>
  </si>
  <si>
    <t>RS</t>
  </si>
  <si>
    <t>PA</t>
  </si>
  <si>
    <t>SP</t>
  </si>
  <si>
    <t>RJ</t>
  </si>
  <si>
    <t>MG</t>
  </si>
  <si>
    <t>ES</t>
  </si>
  <si>
    <t>BA</t>
  </si>
  <si>
    <t>SE</t>
  </si>
  <si>
    <t>AL</t>
  </si>
  <si>
    <t>PE</t>
  </si>
  <si>
    <t>PB</t>
  </si>
  <si>
    <t>RN</t>
  </si>
  <si>
    <t>CE</t>
  </si>
  <si>
    <t>MA</t>
  </si>
  <si>
    <t>PI</t>
  </si>
  <si>
    <t>PR</t>
  </si>
  <si>
    <t>AM</t>
  </si>
  <si>
    <t>AP</t>
  </si>
  <si>
    <t>Estado</t>
  </si>
  <si>
    <t>Sigla</t>
  </si>
  <si>
    <t>Acre</t>
  </si>
  <si>
    <t>AC</t>
  </si>
  <si>
    <t>Alagoas</t>
  </si>
  <si>
    <t>Amapá</t>
  </si>
  <si>
    <t>Amazonas</t>
  </si>
  <si>
    <t>Bahia</t>
  </si>
  <si>
    <t>Ceará</t>
  </si>
  <si>
    <t>Espírito Santo</t>
  </si>
  <si>
    <t>Goiás</t>
  </si>
  <si>
    <t>GO</t>
  </si>
  <si>
    <t>Maranhão</t>
  </si>
  <si>
    <t>Mato Grosso</t>
  </si>
  <si>
    <t>MT</t>
  </si>
  <si>
    <t>Mato Grosso do Sul</t>
  </si>
  <si>
    <t>MS</t>
  </si>
  <si>
    <t>Minas Gerais</t>
  </si>
  <si>
    <t>Pará</t>
  </si>
  <si>
    <t>Paraíba</t>
  </si>
  <si>
    <t>Paraná</t>
  </si>
  <si>
    <t>Pernambuco</t>
  </si>
  <si>
    <t>Piauí</t>
  </si>
  <si>
    <t>Rio de Janeiro</t>
  </si>
  <si>
    <t>Rio Grande do Norte</t>
  </si>
  <si>
    <t>Rio Grande do Sul</t>
  </si>
  <si>
    <t>Rondônia</t>
  </si>
  <si>
    <t>RO</t>
  </si>
  <si>
    <t>Roraima</t>
  </si>
  <si>
    <t>RR</t>
  </si>
  <si>
    <t>Santa Catarina</t>
  </si>
  <si>
    <t>São Paulo</t>
  </si>
  <si>
    <t>Sergipe</t>
  </si>
  <si>
    <t>Tocantins</t>
  </si>
  <si>
    <t>TO</t>
  </si>
  <si>
    <t>Distrito Federal</t>
  </si>
  <si>
    <t>DF</t>
  </si>
  <si>
    <t>NORDESTE</t>
  </si>
  <si>
    <t>SUL</t>
  </si>
  <si>
    <t>SUDESTE</t>
  </si>
  <si>
    <t>NORTE</t>
  </si>
  <si>
    <t>CENTRO OESTE</t>
  </si>
  <si>
    <t>NE</t>
  </si>
  <si>
    <t>CO</t>
  </si>
  <si>
    <t>DMT REFINARIA - RECIFE</t>
  </si>
  <si>
    <t>REFINARIA CONSIDERADA</t>
  </si>
  <si>
    <t>https://maps.app.goo.gl/vDoCHiKxvdFewrcu6</t>
  </si>
  <si>
    <t>LINK</t>
  </si>
  <si>
    <t>PETROBRAS - Refinaria Presidente Getúlio Vargas</t>
  </si>
  <si>
    <t>Petrobras LUBNOR - Refinaria</t>
  </si>
  <si>
    <t>https://maps.app.goo.gl/7VkLNuCsDnTdfE6f8</t>
  </si>
  <si>
    <t>REGIÃO</t>
  </si>
  <si>
    <t>Refinaria Isaac Sabbá</t>
  </si>
  <si>
    <t>https://maps.app.goo.gl/1jPs8gabDxbVnZhn9</t>
  </si>
  <si>
    <t>Refinaria Henrique Lage - Revap</t>
  </si>
  <si>
    <t>https://maps.app.goo.gl/qQJ3VdyrcUsRZBiY8</t>
  </si>
  <si>
    <t>Refinaria Gabriel Passos (Regap)</t>
  </si>
  <si>
    <t>https://maps.app.goo.gl/p8gkMjisYbdRWPNX7</t>
  </si>
  <si>
    <t>Refinaria de Petróleo Riograndense</t>
  </si>
  <si>
    <t>https://maps.app.goo.gl/S45KiUfyaGoAcRsb7</t>
  </si>
  <si>
    <t>Refinaria de Capuava - RECAP (Petrobras)</t>
  </si>
  <si>
    <t>https://maps.app.goo.gl/8wZ8JQ9uYNK4qFKu9</t>
  </si>
  <si>
    <t>Norship</t>
  </si>
  <si>
    <t>https://maps.app.goo.gl/G8Z79eTCZfgMShC2A</t>
  </si>
  <si>
    <t>ECOMAT - Distribuidora de Derivados de Petróleo</t>
  </si>
  <si>
    <t>https://maps.app.goo.gl/6YqWtQUFoT2icok69</t>
  </si>
  <si>
    <t>Refinaria de Mataripe</t>
  </si>
  <si>
    <t>https://maps.app.goo.gl/V4VK4sr77BREArLQ6</t>
  </si>
  <si>
    <t>DISTÂNCIA ENTRE CAPITAIS</t>
  </si>
  <si>
    <t>Refinaria Abreu e Lima (RNEST)</t>
  </si>
  <si>
    <t>https://maps.app.goo.gl/R5UrP9tH92oF7nn86</t>
  </si>
  <si>
    <t>Refinaria Duque de Caxias Reduc</t>
  </si>
  <si>
    <t>https://maps.app.goo.gl/Q9cPNaCj413hPHaf7</t>
  </si>
  <si>
    <t>C$ UNIT</t>
  </si>
  <si>
    <t>FORNECIMENTO E ASSENTAMENTO DE CAIXA DE PASSAGEM METÁLICA DE 20X20X10CM P/ INSTALAÇÕES ELÉTRICAS</t>
  </si>
  <si>
    <t>INSTALAÇÃO DE ELETRODUTO FLEXÍVEL E DAS CONEXÕES DE 1/2" À 2" (SEM FORNECIMENTO)</t>
  </si>
  <si>
    <t>INSTALAÇÃO DE ELETRODUTO FLEXÍVEL E DAS CONEXÕES DE 2 1/2" À 3" (SEM FORNECIMENTO)</t>
  </si>
  <si>
    <t>INSTALAÇÃO DE ELETRODUTO FLEXÍVEL E DAS CONEXÕES DE 4" A 6'' (SEM FORNECIMENTO)</t>
  </si>
  <si>
    <t>INSTALAÇÃO DE ELETRODUTO RÍGIDO DE 1/2" À 2" E DAS CONEXÕES (SEM FORNECIMENTO)</t>
  </si>
  <si>
    <t>INSTALAÇÃO DE ELETRODUTO RÍGIDO DE 2 1/2" A 3'' E DAS CONEXÕES (SEM FORNECIMENTO)</t>
  </si>
  <si>
    <t>INSTALAÇÃO DE ELETRODUTO RÍGIDO DE 4" A 6'' E DAS CONEXÕES (SEM FORNECIMENTO)</t>
  </si>
  <si>
    <t>CARGA E DESCARGA DE TUBOS E CONEXÕES EM FOFO</t>
  </si>
  <si>
    <t>COLETA E PRODUÇÃO DE MUDAS (EXCLUSIVE O FORNECIMENTO DA MUDA)</t>
  </si>
  <si>
    <t>PLANTIO DE MUDA NATIVAS INCLUSIVE COROAMENTO, ABERTURA DA COVA, ADUBACAO DE FUNDACAO E DE COBERTURA, PLANTIO E FIXACAO DE TUTOR (EXCLUSIVE O FORNECIMENTO DA MUDA)</t>
  </si>
  <si>
    <t>32.01.06U</t>
  </si>
  <si>
    <t>FORNECIMENTO E INSTALAÇÃO DE CONCERTINA DUPLA EM AÇO GALVANIZADO, ESPIRAL DE DN 300 MM, 3 CLIPES PARA ESPIRAL, LÂMINA DE 30 MM E FIO INTERNO DE 2,76 MM</t>
  </si>
  <si>
    <t>FORNECIMENTO E INSTALAÇÃO DE CONCERTINA SIMPLES EM AÇO GALVANIZADO, ESPIRAL DE DN 300 MM, 3 CLIPES PARA ESPIRAL, LÂMINA DE 30 MM E FIO INTERNO DE 2,76 MM, COM HASTE DE ASSENTAMENTO A CADA 3 M</t>
  </si>
  <si>
    <t>ATERRO APILOADO EM CAMADAS DE 0,20 M COM MATERIAL ARGILO-ARENOSO - COMERCIAL (INCLUSIVE O FORNECIMENTO DO MATERIAL)</t>
  </si>
  <si>
    <t>2024.2</t>
  </si>
  <si>
    <t>% AS</t>
  </si>
  <si>
    <t>MOBILIZAÇÃO, TRANSPORTE, INSTALAÇÃO E DESMOBILIZAÇÃO DO EQUIPAMENTO DE SONDAGEM A PERCUSSÃO, INCLUSO DESLOCAMENTO ENTRE FUROS NA MESMA ÁREA, DISTÂNCIA ATÉ 10 KM.</t>
  </si>
  <si>
    <t xml:space="preserve">TRANSPORTE, POR QUILÔMETRO ADICIONAL,  DO EQUIPAMENTO DE SONDAGEM A PERCUSSÃO </t>
  </si>
  <si>
    <t>01.03.18U</t>
  </si>
  <si>
    <t>01.03.19U</t>
  </si>
  <si>
    <t>01.02.09U</t>
  </si>
  <si>
    <t>01.02.10U</t>
  </si>
  <si>
    <t>MOBILIZAÇÃO, TRANSPORTE, INSTALAÇÃO E DESMOBILIZAÇÃO DO EQUIPAMENTO DE SONDAGEM A TRADO, INCLUSO DESLOCAMENTO ENTRE FUROS NA MESMA ÁREA, DISTÂNCIA ATÉ 10 KM.</t>
  </si>
  <si>
    <t>TRANSPORTE, POR QUILÔMETRO ADICIONAL,  DO EQUIPAMENTO DE SONDAGEM A TRADO</t>
  </si>
  <si>
    <t>LUMINÁRIA LED REFLETORA DE 40W PARA USO INTERNO SIMPLES (FORNECIMENTO E INSTALAÇÃO)</t>
  </si>
  <si>
    <t>FORNECIMENTO E INSTALAÇÃO DE ESCADA DE MARINHEIRO EM FIBRA DE VIDRO , RESINA OFFSHORE, COM GAIOLA DE PROTEÇÃO 800MM (EM REVISÃO)</t>
  </si>
  <si>
    <t>SONDAGEM A TRADO MANUAL TIPO CAVADEIRA - DIÂMETRO ATÉ 12", INCLUSIVE LAUDO, EXCLUSIVE O TRANSPORTE</t>
  </si>
  <si>
    <t>ATERRO COMPACTADO MECANICAMENTE EM CAMADAS DE 0,20M COM MATERIAL NÃO COMERCIAL ADQUIRIDO EM JAZIDA, EXCLUSIVE MATERIAL E TRANSPORTE.</t>
  </si>
  <si>
    <t>ATERRO PARA FUNDAÇÕES UTILIZANDO SOLO CIMENTO NO TRAÇO 1:20, ABRANGENDO ESPALHAMENTO, HOMOGENEIZAÇÃO, UMEDECIMENTO E COMPACTAÇÃO MANUAL COM SOQUETE DE 30 KG EM CAMADAS SUCESSIVAS DE 20 CM DE ESPESSURA, EXCLUSIVE FORNECIMENTO DO MATERIAL.</t>
  </si>
  <si>
    <t>ATERRO PARA FUNDAÇÕES UTILIZANDO SOLO CIMENTO NO TRAÇO 1:30, ABRANGENDO ESPALHAMENTO, HOMOGENEIZAÇÃO, UMEDECIMENTO E COMPACTAÇÃO MANUAL COM SOQUETE DE 30 KG EM CAMADAS SUCESSIVAS DE 20 CM DE ESPESSURA, EXCLUSIVE FORNECIMENTO DO MATERIAL.</t>
  </si>
  <si>
    <t>ATERRO PARA FUNDAÇÕES UTILIZANDO SOLO CIMENTO NO TRAÇO 1:20, ABRANGENDO ESPALHAMENTO, HOMOGENEIZAÇÃO, UMEDECIMENTO E COMPACTAÇÃO MECÂNICA LEVE EM CAMADAS SUCESSIVAS DE 20 CM DE ESPESSURA, EXCLUSIVE FORNECIMENTO DO MATERIAL.</t>
  </si>
  <si>
    <t>ATERRO PARA FUNDAÇÕES UTILIZANDO SOLO CIMENTO NO TRAÇO 1:30, ABRANGENDO ESPALHAMENTO, HOMOGENEIZAÇÃO, UMEDECIMENTO E COMPACTAÇÃO MECÂNICA LEVE EM CAMADAS SUCESSIVAS DE 20 CM DE ESPESSURA, EXCLUSIVE FORNECIMENTO DO MATERIAL.</t>
  </si>
  <si>
    <t>ATERRO MANUAL SEM COMPACTAÇÃO, INCLUSIVE ESCAVAÇÃO, EXCLUSIVE CARGA, TRANSPORTE, DESCARGA E FORNECIMENTO DE MATERIAL.</t>
  </si>
  <si>
    <t>EXECUÇÃO DE SUB-BASE ESTABILIZADA GRANULOMETRICAMENTE ABRANGENDO ESPALHAMENTO, HOMOGENEIZAÇÃO, UMEDECIMENTO E COMPACTAÇÃO COM ESPESSURA DE 20 CM, GRAU DE COMPACTAÇÃO 100% DO PRÓCTOR NORMAL, EXCLUSIVE  MATERIAL.</t>
  </si>
  <si>
    <t>SINAPI 07/2024 - DNIT 04/2024 - ANP 07/2024 - SEINFRA CE 028</t>
  </si>
  <si>
    <t>TAPUME, EM COMPENSADO DE MADEIRA, GRAFITADO/DECORADO</t>
  </si>
  <si>
    <t>TAPUME, EM TELHA METÁLICA, GRAFITADO/DECORADO</t>
  </si>
  <si>
    <t>XX/XX/2024</t>
  </si>
  <si>
    <t>Tabela de Custos Unitários para Obras e Serviços de Engenharia - 2024.2</t>
  </si>
  <si>
    <t>(COMPOSIÇÃO REPRESENTATIVA) PONTO DE TOMADA SIMPLES DE 220V, INCLUSIVE TUBULAÇÃO DE PVC RÍGIDO, FIAÇÃO, CAIXA 4X2, PLACA E DEMAIS ACESSÓRIOS, ATÉ O PONTO DE LUZ OU QUADRO DE DISTRIBUIÇÃO. (EM PROCESSO DE DESCONTINUAÇÃO).</t>
  </si>
  <si>
    <t>(COMPOSIÇÃO REPRESENTATIVA) PONTO DE TOMADA PARA AR CONDICIONADO COM DISJUNTOR DE 25 A, TOMADA COM 3 PINOS E PLACA, MONTADA EM CAIXA 4X4", INCLUSIVE ELETRODUTO EM PVC, FIAÇÃO E ATERRAMENTO ATÉ O QUADRO DE DISTRIBUIÇÃO E DEMAIS ACESSÓRIOS. (EM PROCESSO DE DESCONTINUAÇÃO).</t>
  </si>
  <si>
    <t>(COMPOSIÇÃO REPRESENTATIVA) PONTO DE TOMADA PARA TELEFONE, INCLUSIVE TUBULAÇÃO DE PVC, FIAÇÃO, CAIXA 4X2", PLACA, CAIXA DE PASSAGEM E DEMAIS ACESSÓRIOS ATÉ A CAIXA DE DISTRIBUIÇÃO DO PAVIMENTO. (EM PROCESSO DE DESCONTINUAÇÃO).</t>
  </si>
  <si>
    <t>(COMPOSIÇÃO REPRESENTATIVA) PONTO DE LUZ COM GLOBO LEITOSO E LÂMPADA DE 60W, INCLUSIVE ELETRODUTOS, CAIXAS, INTERRUPTOR E FIAÇÃO ATÉ O QUADRO DE DISTRIBUIÇÃO. (EM PROCESSO DE DESCONTINUAÇÃO).</t>
  </si>
  <si>
    <t>(COMPOSIÇÃO REPRESENTATIVA) FORNECIMENTO E INSTALAÇÃO DE LUMINÁRIA FLUORESCENTE COMPLETA COM 2 LÂMPADAS 40W, INCLUSIVE REATOR, CALHA,  E DEMAIS ACESSÓRIOS NECESSÁRIOS, E AINDA ELETRODUTOS, CAIXAS, INTERRUPTOR, FIAÇÃO ATÉ O QUADRO DE DISTRIBUIÇÃO. (EM PROCESSO DE DESCONTINUAÇÃO).</t>
  </si>
  <si>
    <t>LUMINÁRIAS TIPO CALHA, DE SOBREPOR, COM REATORES DE PARTIDA RÁPIDA E LÂMPADAS FLUORESCENTES 2X2X18W, COMPLETAS, FORNECIMENTO E INSTALAÇÃO (EM PROCESSO DE DESCONTINUAÇÃO).</t>
  </si>
  <si>
    <t>LUMINÁRIAS TIPO CALHA, DE SOBREPOR, COM REATORES DE PARTIDA RÁPIDA E LÂMPADAS FLUORESCENTES 2X2X36W, COMPLETAS, FORNECIMENTO E INSTALAÇÃO (EM PROCESSO DE DESCONTINUAÇÃO).</t>
  </si>
  <si>
    <t xml:space="preserve"> </t>
  </si>
  <si>
    <t>APROVADA PELA REUNIÃO DE DIRETORIA Nº XX/2024  DE XX/XX/2024, VÁLIDA A PARTIR XX/XX/2024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</si>
</sst>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#,##0.00000"/>
    <numFmt numFmtId="166" formatCode="0.0000"/>
    <numFmt numFmtId="167" formatCode="[$-416]mmmm\-yy;@"/>
    <numFmt numFmtId="168" formatCode="_-* #,##0.00_-;\-* #,##0.00_-;_-* \-??_-;_-@_-"/>
    <numFmt numFmtId="169" formatCode="_(* #,##0.00_);_(* \(#,##0.00\);_(* &quot;-&quot;??_);_(@_)"/>
    <numFmt numFmtId="170" formatCode="&quot;R$&quot;\ #,##0.00"/>
    <numFmt numFmtId="174" formatCode="_-&quot;R$&quot;\ * #,##0.00000000_-;\-&quot;R$&quot;\ * #,##0.00000000_-;_-&quot;R$&quot;\ * &quot;-&quot;??_-;_-@_-"/>
  </numFmts>
  <fonts count="68" x14ac:knownFonts="1">
    <font>
      <sz val="11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6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color rgb="FF0000FF"/>
      <name val="Calibri"/>
      <family val="2"/>
      <charset val="1"/>
    </font>
    <font>
      <b/>
      <sz val="14"/>
      <name val="Calibri"/>
      <family val="2"/>
      <scheme val="minor"/>
    </font>
    <font>
      <b/>
      <sz val="11"/>
      <color theme="0"/>
      <name val="Calibri"/>
      <family val="2"/>
    </font>
    <font>
      <sz val="10"/>
      <name val="Arial"/>
      <family val="2"/>
    </font>
    <font>
      <sz val="11"/>
      <color rgb="FFFF0000"/>
      <name val="Calibri"/>
      <family val="2"/>
      <charset val="1"/>
    </font>
    <font>
      <sz val="11"/>
      <name val="Calibri"/>
      <family val="2"/>
      <charset val="1"/>
    </font>
    <font>
      <sz val="11"/>
      <color indexed="8"/>
      <name val="Calibri"/>
      <family val="2"/>
      <charset val="1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10"/>
      <name val="Calibri"/>
      <family val="2"/>
      <scheme val="minor"/>
    </font>
    <font>
      <sz val="28"/>
      <name val="Calibri"/>
      <family val="2"/>
      <scheme val="minor"/>
    </font>
    <font>
      <b/>
      <sz val="36"/>
      <color rgb="FF1948A7"/>
      <name val="Calibri"/>
      <family val="2"/>
      <scheme val="minor"/>
    </font>
    <font>
      <b/>
      <sz val="14"/>
      <color rgb="FF1948A7"/>
      <name val="Calibri"/>
      <family val="2"/>
      <scheme val="minor"/>
    </font>
    <font>
      <b/>
      <sz val="12"/>
      <color rgb="FF1948A7"/>
      <name val="Calibri"/>
      <family val="2"/>
      <scheme val="minor"/>
    </font>
    <font>
      <sz val="14"/>
      <color rgb="FF1948A7"/>
      <name val="Calibri"/>
      <family val="2"/>
      <scheme val="minor"/>
    </font>
    <font>
      <b/>
      <sz val="22"/>
      <color rgb="FF1948A7"/>
      <name val="Calibri"/>
      <family val="2"/>
      <scheme val="minor"/>
    </font>
    <font>
      <b/>
      <sz val="16"/>
      <color rgb="FF1948A7"/>
      <name val="Calibri"/>
      <family val="2"/>
      <scheme val="minor"/>
    </font>
    <font>
      <b/>
      <sz val="14"/>
      <color rgb="FF000000"/>
      <name val="Arial"/>
      <family val="2"/>
      <charset val="1"/>
    </font>
    <font>
      <b/>
      <sz val="11"/>
      <name val="Calibri"/>
      <family val="2"/>
      <scheme val="minor"/>
    </font>
    <font>
      <b/>
      <sz val="30"/>
      <color rgb="FF1948A7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FF0000"/>
      <name val="Calibri"/>
      <family val="2"/>
      <scheme val="minor"/>
    </font>
    <font>
      <b/>
      <sz val="10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2"/>
      <color indexed="8"/>
      <name val="Calibri"/>
      <family val="2"/>
      <charset val="1"/>
    </font>
    <font>
      <b/>
      <sz val="12"/>
      <color theme="1"/>
      <name val="Calibri"/>
      <family val="2"/>
      <charset val="1"/>
      <scheme val="minor"/>
    </font>
    <font>
      <b/>
      <sz val="12"/>
      <color theme="3"/>
      <name val="Calibri"/>
      <family val="2"/>
      <charset val="1"/>
      <scheme val="minor"/>
    </font>
    <font>
      <sz val="12"/>
      <name val="Calibri"/>
      <family val="2"/>
    </font>
    <font>
      <sz val="11"/>
      <color rgb="FFFF0000"/>
      <name val="Calibri"/>
      <family val="2"/>
    </font>
    <font>
      <i/>
      <sz val="10"/>
      <color rgb="FFFF0000"/>
      <name val="Calibri"/>
      <family val="2"/>
    </font>
    <font>
      <sz val="10"/>
      <color rgb="FF000000"/>
      <name val="Calibri"/>
      <family val="2"/>
      <scheme val="minor"/>
    </font>
    <font>
      <sz val="11"/>
      <name val="Arial"/>
      <family val="2"/>
      <charset val="1"/>
    </font>
    <font>
      <b/>
      <sz val="20"/>
      <color rgb="FF1948A7"/>
      <name val="Calibri"/>
      <family val="2"/>
      <scheme val="minor"/>
    </font>
    <font>
      <u/>
      <sz val="10"/>
      <color rgb="FFFF0000"/>
      <name val="Arial"/>
      <family val="2"/>
    </font>
    <font>
      <b/>
      <sz val="11"/>
      <name val="Calibri"/>
      <family val="2"/>
      <charset val="1"/>
      <scheme val="minor"/>
    </font>
    <font>
      <b/>
      <sz val="11"/>
      <color indexed="8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color theme="9" tint="-0.249977111117893"/>
      <name val="Calibri"/>
      <family val="2"/>
    </font>
    <font>
      <b/>
      <sz val="11"/>
      <color rgb="FFFF0000"/>
      <name val="Calibri"/>
      <family val="2"/>
    </font>
    <font>
      <b/>
      <sz val="11"/>
      <color indexed="8"/>
      <name val="Calibri"/>
      <family val="2"/>
      <charset val="1"/>
    </font>
  </fonts>
  <fills count="2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theme="9" tint="0.79998168889431442"/>
        <bgColor rgb="FFF2F2F2"/>
      </patternFill>
    </fill>
    <fill>
      <patternFill patternType="solid">
        <fgColor rgb="FF8DC63F"/>
        <bgColor indexed="64"/>
      </patternFill>
    </fill>
    <fill>
      <patternFill patternType="solid">
        <fgColor rgb="FF21409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gradientFill degree="180">
        <stop position="0">
          <color theme="0"/>
        </stop>
        <stop position="1">
          <color theme="9" tint="0.59999389629810485"/>
        </stop>
      </gradientFill>
    </fill>
    <fill>
      <patternFill patternType="solid">
        <fgColor theme="2" tint="-9.9978637043366805E-2"/>
        <bgColor indexed="64"/>
      </patternFill>
    </fill>
  </fills>
  <borders count="138">
    <border>
      <left/>
      <right/>
      <top/>
      <bottom/>
      <diagonal/>
    </border>
    <border>
      <left style="medium">
        <color theme="0" tint="-0.24994659260841701"/>
      </left>
      <right style="thin">
        <color theme="0" tint="-0.14996795556505021"/>
      </right>
      <top style="medium">
        <color theme="0" tint="-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0" tint="-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24994659260841701"/>
      </right>
      <top style="medium">
        <color theme="0" tint="-0.24994659260841701"/>
      </top>
      <bottom style="thin">
        <color theme="0" tint="-0.14996795556505021"/>
      </bottom>
      <diagonal/>
    </border>
    <border>
      <left style="medium">
        <color theme="0" tint="-0.2499465926084170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2499465926084170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24994659260841701"/>
      </right>
      <top/>
      <bottom style="thin">
        <color theme="0" tint="-0.1499679555650502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2499465926084170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24994659260841701"/>
      </right>
      <top style="medium">
        <color theme="0" tint="-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theme="0" tint="-0.24994659260841701"/>
      </bottom>
      <diagonal/>
    </border>
    <border>
      <left style="thin">
        <color theme="0" tint="-0.1499679555650502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34998626667073579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3499862666707357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rgb="FF1948A7"/>
      </left>
      <right style="thin">
        <color rgb="FF1948A7"/>
      </right>
      <top style="medium">
        <color rgb="FF1948A7"/>
      </top>
      <bottom style="medium">
        <color rgb="FF1948A7"/>
      </bottom>
      <diagonal/>
    </border>
    <border>
      <left style="thin">
        <color rgb="FF1948A7"/>
      </left>
      <right style="thin">
        <color rgb="FF1948A7"/>
      </right>
      <top style="medium">
        <color rgb="FF1948A7"/>
      </top>
      <bottom style="medium">
        <color rgb="FF1948A7"/>
      </bottom>
      <diagonal/>
    </border>
    <border>
      <left style="thin">
        <color rgb="FF1948A7"/>
      </left>
      <right style="medium">
        <color rgb="FF1948A7"/>
      </right>
      <top style="medium">
        <color rgb="FF1948A7"/>
      </top>
      <bottom style="medium">
        <color rgb="FF1948A7"/>
      </bottom>
      <diagonal/>
    </border>
    <border>
      <left style="medium">
        <color rgb="FF1948A7"/>
      </left>
      <right style="thin">
        <color rgb="FF1948A7"/>
      </right>
      <top/>
      <bottom style="thin">
        <color rgb="FF1948A7"/>
      </bottom>
      <diagonal/>
    </border>
    <border>
      <left style="thin">
        <color rgb="FF1948A7"/>
      </left>
      <right style="thin">
        <color rgb="FF1948A7"/>
      </right>
      <top/>
      <bottom style="thin">
        <color rgb="FF1948A7"/>
      </bottom>
      <diagonal/>
    </border>
    <border>
      <left style="medium">
        <color rgb="FF1948A7"/>
      </left>
      <right style="thin">
        <color rgb="FF1948A7"/>
      </right>
      <top style="thin">
        <color rgb="FF1948A7"/>
      </top>
      <bottom style="thin">
        <color rgb="FF1948A7"/>
      </bottom>
      <diagonal/>
    </border>
    <border>
      <left style="thin">
        <color rgb="FF1948A7"/>
      </left>
      <right style="thin">
        <color rgb="FF1948A7"/>
      </right>
      <top style="thin">
        <color rgb="FF1948A7"/>
      </top>
      <bottom style="thin">
        <color rgb="FF1948A7"/>
      </bottom>
      <diagonal/>
    </border>
    <border>
      <left style="thin">
        <color rgb="FF1948A7"/>
      </left>
      <right style="medium">
        <color rgb="FF1948A7"/>
      </right>
      <top style="thin">
        <color rgb="FF1948A7"/>
      </top>
      <bottom style="thin">
        <color rgb="FF1948A7"/>
      </bottom>
      <diagonal/>
    </border>
    <border>
      <left/>
      <right/>
      <top style="thin">
        <color rgb="FF1948A7"/>
      </top>
      <bottom/>
      <diagonal/>
    </border>
    <border>
      <left style="thin">
        <color rgb="FF1948A7"/>
      </left>
      <right/>
      <top style="medium">
        <color rgb="FF1948A7"/>
      </top>
      <bottom style="medium">
        <color rgb="FF1948A7"/>
      </bottom>
      <diagonal/>
    </border>
    <border>
      <left style="thin">
        <color rgb="FF1948A7"/>
      </left>
      <right/>
      <top/>
      <bottom style="thin">
        <color rgb="FF1948A7"/>
      </bottom>
      <diagonal/>
    </border>
    <border>
      <left style="thin">
        <color rgb="FF1948A7"/>
      </left>
      <right/>
      <top style="thin">
        <color rgb="FF1948A7"/>
      </top>
      <bottom style="thin">
        <color rgb="FF1948A7"/>
      </bottom>
      <diagonal/>
    </border>
    <border>
      <left style="thin">
        <color theme="0" tint="-0.14996795556505021"/>
      </left>
      <right/>
      <top style="medium">
        <color theme="0" tint="-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rgb="FF21409A"/>
      </bottom>
      <diagonal/>
    </border>
    <border>
      <left/>
      <right/>
      <top style="medium">
        <color indexed="64"/>
      </top>
      <bottom style="hair">
        <color rgb="FF21409A"/>
      </bottom>
      <diagonal/>
    </border>
    <border>
      <left/>
      <right style="medium">
        <color indexed="64"/>
      </right>
      <top style="medium">
        <color indexed="64"/>
      </top>
      <bottom style="hair">
        <color rgb="FF21409A"/>
      </bottom>
      <diagonal/>
    </border>
    <border>
      <left style="hair">
        <color rgb="FF21409A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rgb="FF21409A"/>
      </left>
      <right style="hair">
        <color rgb="FF21409A"/>
      </right>
      <top style="medium">
        <color indexed="64"/>
      </top>
      <bottom/>
      <diagonal/>
    </border>
    <border>
      <left style="hair">
        <color rgb="FF21409A"/>
      </left>
      <right style="hair">
        <color rgb="FF21409A"/>
      </right>
      <top/>
      <bottom/>
      <diagonal/>
    </border>
    <border>
      <left style="hair">
        <color rgb="FF21409A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rgb="FF21409A"/>
      </right>
      <top style="hair">
        <color rgb="FF21409A"/>
      </top>
      <bottom style="hair">
        <color indexed="64"/>
      </bottom>
      <diagonal/>
    </border>
    <border>
      <left style="hair">
        <color rgb="FF21409A"/>
      </left>
      <right style="hair">
        <color rgb="FF21409A"/>
      </right>
      <top style="hair">
        <color rgb="FF21409A"/>
      </top>
      <bottom style="hair">
        <color indexed="64"/>
      </bottom>
      <diagonal/>
    </border>
    <border>
      <left style="hair">
        <color rgb="FF21409A"/>
      </left>
      <right/>
      <top style="hair">
        <color rgb="FF21409A"/>
      </top>
      <bottom style="hair">
        <color indexed="64"/>
      </bottom>
      <diagonal/>
    </border>
    <border>
      <left style="hair">
        <color rgb="FF21409A"/>
      </left>
      <right style="medium">
        <color indexed="64"/>
      </right>
      <top style="hair">
        <color rgb="FF21409A"/>
      </top>
      <bottom style="hair">
        <color indexed="64"/>
      </bottom>
      <diagonal/>
    </border>
    <border>
      <left/>
      <right style="hair">
        <color rgb="FF21409A"/>
      </right>
      <top style="medium">
        <color indexed="64"/>
      </top>
      <bottom/>
      <diagonal/>
    </border>
    <border>
      <left/>
      <right style="hair">
        <color rgb="FF21409A"/>
      </right>
      <top/>
      <bottom/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24994659260841701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21409A"/>
      </left>
      <right/>
      <top style="medium">
        <color rgb="FF21409A"/>
      </top>
      <bottom/>
      <diagonal/>
    </border>
    <border>
      <left/>
      <right/>
      <top style="medium">
        <color rgb="FF21409A"/>
      </top>
      <bottom/>
      <diagonal/>
    </border>
    <border>
      <left/>
      <right style="medium">
        <color rgb="FF21409A"/>
      </right>
      <top style="medium">
        <color rgb="FF21409A"/>
      </top>
      <bottom/>
      <diagonal/>
    </border>
    <border>
      <left style="medium">
        <color rgb="FF21409A"/>
      </left>
      <right/>
      <top/>
      <bottom style="medium">
        <color rgb="FF21409A"/>
      </bottom>
      <diagonal/>
    </border>
    <border>
      <left/>
      <right/>
      <top/>
      <bottom style="medium">
        <color rgb="FF21409A"/>
      </bottom>
      <diagonal/>
    </border>
    <border>
      <left/>
      <right style="medium">
        <color rgb="FF21409A"/>
      </right>
      <top/>
      <bottom style="medium">
        <color rgb="FF21409A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4.9989318521683403E-2"/>
      </left>
      <right style="medium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24">
    <xf numFmtId="0" fontId="0" fillId="0" borderId="0"/>
    <xf numFmtId="0" fontId="6" fillId="0" borderId="0"/>
    <xf numFmtId="9" fontId="6" fillId="0" borderId="0" applyBorder="0" applyProtection="0"/>
    <xf numFmtId="9" fontId="18" fillId="0" borderId="0" applyBorder="0" applyProtection="0"/>
    <xf numFmtId="168" fontId="18" fillId="0" borderId="0" applyBorder="0" applyProtection="0"/>
    <xf numFmtId="164" fontId="15" fillId="0" borderId="0" applyFill="0" applyBorder="0" applyAlignment="0" applyProtection="0"/>
    <xf numFmtId="169" fontId="4" fillId="0" borderId="0" applyFont="0" applyFill="0" applyBorder="0" applyAlignment="0" applyProtection="0"/>
    <xf numFmtId="0" fontId="4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5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8" fillId="0" borderId="0" applyFont="0" applyFill="0" applyBorder="0" applyAlignment="0" applyProtection="0"/>
    <xf numFmtId="0" fontId="15" fillId="0" borderId="0"/>
    <xf numFmtId="0" fontId="15" fillId="0" borderId="0"/>
    <xf numFmtId="44" fontId="3" fillId="0" borderId="0" applyFont="0" applyFill="0" applyBorder="0" applyAlignment="0" applyProtection="0"/>
    <xf numFmtId="0" fontId="57" fillId="0" borderId="0"/>
    <xf numFmtId="0" fontId="15" fillId="0" borderId="0"/>
    <xf numFmtId="43" fontId="2" fillId="0" borderId="0" applyFont="0" applyFill="0" applyBorder="0" applyAlignment="0" applyProtection="0"/>
    <xf numFmtId="164" fontId="15" fillId="0" borderId="0" applyFill="0" applyBorder="0" applyAlignment="0" applyProtection="0"/>
    <xf numFmtId="44" fontId="2" fillId="0" borderId="0" applyFont="0" applyFill="0" applyBorder="0" applyAlignment="0" applyProtection="0"/>
    <xf numFmtId="10" fontId="1" fillId="22" borderId="0">
      <alignment horizontal="center" vertical="center" wrapText="1"/>
    </xf>
  </cellStyleXfs>
  <cellXfs count="388">
    <xf numFmtId="0" fontId="0" fillId="0" borderId="0" xfId="0"/>
    <xf numFmtId="0" fontId="0" fillId="0" borderId="0" xfId="0" applyAlignment="1">
      <alignment vertical="center"/>
    </xf>
    <xf numFmtId="0" fontId="9" fillId="2" borderId="4" xfId="1" applyFont="1" applyFill="1" applyBorder="1" applyAlignment="1">
      <alignment vertical="center" wrapText="1"/>
    </xf>
    <xf numFmtId="0" fontId="9" fillId="2" borderId="7" xfId="1" applyFont="1" applyFill="1" applyBorder="1" applyAlignment="1">
      <alignment vertical="center" wrapText="1"/>
    </xf>
    <xf numFmtId="0" fontId="9" fillId="2" borderId="8" xfId="1" applyFont="1" applyFill="1" applyBorder="1" applyAlignment="1">
      <alignment vertical="center" wrapText="1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165" fontId="5" fillId="5" borderId="5" xfId="0" applyNumberFormat="1" applyFont="1" applyFill="1" applyBorder="1" applyAlignment="1">
      <alignment horizontal="center" vertical="center"/>
    </xf>
    <xf numFmtId="4" fontId="5" fillId="5" borderId="5" xfId="0" applyNumberFormat="1" applyFont="1" applyFill="1" applyBorder="1" applyAlignment="1">
      <alignment horizontal="center" vertical="center"/>
    </xf>
    <xf numFmtId="165" fontId="5" fillId="5" borderId="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43" fontId="27" fillId="0" borderId="0" xfId="8" applyFont="1" applyFill="1" applyBorder="1" applyAlignment="1">
      <alignment horizontal="center" vertical="center"/>
    </xf>
    <xf numFmtId="43" fontId="30" fillId="0" borderId="28" xfId="8" applyFont="1" applyFill="1" applyBorder="1" applyAlignment="1">
      <alignment horizontal="center" vertical="center" wrapText="1"/>
    </xf>
    <xf numFmtId="0" fontId="30" fillId="0" borderId="27" xfId="0" applyFont="1" applyBorder="1" applyAlignment="1">
      <alignment vertical="center" wrapText="1"/>
    </xf>
    <xf numFmtId="0" fontId="31" fillId="0" borderId="30" xfId="0" applyFont="1" applyBorder="1" applyAlignment="1">
      <alignment vertical="center" wrapText="1"/>
    </xf>
    <xf numFmtId="0" fontId="31" fillId="0" borderId="32" xfId="0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30" fillId="0" borderId="27" xfId="0" applyFont="1" applyBorder="1" applyAlignment="1">
      <alignment horizontal="center" vertical="center" wrapText="1"/>
    </xf>
    <xf numFmtId="0" fontId="33" fillId="10" borderId="0" xfId="0" applyFont="1" applyFill="1" applyAlignment="1">
      <alignment horizontal="center" vertical="center"/>
    </xf>
    <xf numFmtId="0" fontId="31" fillId="0" borderId="29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4" fillId="10" borderId="17" xfId="0" applyFont="1" applyFill="1" applyBorder="1" applyAlignment="1">
      <alignment vertical="center"/>
    </xf>
    <xf numFmtId="0" fontId="30" fillId="0" borderId="35" xfId="0" applyFont="1" applyBorder="1" applyAlignment="1">
      <alignment vertical="center" wrapText="1"/>
    </xf>
    <xf numFmtId="0" fontId="31" fillId="0" borderId="36" xfId="0" applyFont="1" applyBorder="1" applyAlignment="1">
      <alignment vertical="center" wrapText="1"/>
    </xf>
    <xf numFmtId="0" fontId="31" fillId="0" borderId="37" xfId="0" applyFont="1" applyBorder="1" applyAlignment="1">
      <alignment vertical="center" wrapText="1"/>
    </xf>
    <xf numFmtId="165" fontId="0" fillId="0" borderId="0" xfId="0" applyNumberFormat="1" applyAlignment="1">
      <alignment horizontal="center" vertical="center"/>
    </xf>
    <xf numFmtId="0" fontId="36" fillId="6" borderId="4" xfId="0" applyFont="1" applyFill="1" applyBorder="1" applyAlignment="1">
      <alignment horizontal="center" vertical="center"/>
    </xf>
    <xf numFmtId="0" fontId="33" fillId="10" borderId="0" xfId="0" applyFont="1" applyFill="1" applyAlignment="1">
      <alignment vertical="center"/>
    </xf>
    <xf numFmtId="0" fontId="33" fillId="10" borderId="17" xfId="0" applyFont="1" applyFill="1" applyBorder="1" applyAlignment="1">
      <alignment horizontal="center" vertical="center"/>
    </xf>
    <xf numFmtId="0" fontId="22" fillId="7" borderId="18" xfId="10" applyFont="1" applyFill="1" applyBorder="1" applyAlignment="1">
      <alignment horizontal="center" vertical="center"/>
    </xf>
    <xf numFmtId="0" fontId="22" fillId="7" borderId="19" xfId="10" applyFont="1" applyFill="1" applyBorder="1" applyAlignment="1">
      <alignment horizontal="center" vertical="center"/>
    </xf>
    <xf numFmtId="0" fontId="23" fillId="5" borderId="20" xfId="10" applyFont="1" applyFill="1" applyBorder="1" applyAlignment="1">
      <alignment horizontal="center" vertical="center"/>
    </xf>
    <xf numFmtId="0" fontId="23" fillId="5" borderId="21" xfId="10" applyFont="1" applyFill="1" applyBorder="1" applyAlignment="1">
      <alignment horizontal="center" vertical="center"/>
    </xf>
    <xf numFmtId="0" fontId="24" fillId="4" borderId="24" xfId="10" applyFont="1" applyFill="1" applyBorder="1" applyAlignment="1">
      <alignment horizontal="center" vertical="center"/>
    </xf>
    <xf numFmtId="0" fontId="14" fillId="4" borderId="8" xfId="10" applyFont="1" applyFill="1" applyBorder="1" applyAlignment="1">
      <alignment horizontal="center" vertical="center"/>
    </xf>
    <xf numFmtId="0" fontId="14" fillId="4" borderId="25" xfId="10" applyFont="1" applyFill="1" applyBorder="1" applyAlignment="1">
      <alignment horizontal="center" vertical="center"/>
    </xf>
    <xf numFmtId="0" fontId="21" fillId="0" borderId="22" xfId="10" applyFont="1" applyBorder="1" applyAlignment="1">
      <alignment horizontal="center" vertical="center"/>
    </xf>
    <xf numFmtId="0" fontId="21" fillId="0" borderId="5" xfId="10" applyFont="1" applyBorder="1" applyAlignment="1">
      <alignment horizontal="center" vertical="center"/>
    </xf>
    <xf numFmtId="2" fontId="21" fillId="8" borderId="5" xfId="10" applyNumberFormat="1" applyFont="1" applyFill="1" applyBorder="1" applyAlignment="1">
      <alignment horizontal="center" vertical="center"/>
    </xf>
    <xf numFmtId="2" fontId="21" fillId="8" borderId="23" xfId="10" applyNumberFormat="1" applyFont="1" applyFill="1" applyBorder="1" applyAlignment="1">
      <alignment horizontal="center" vertical="center"/>
    </xf>
    <xf numFmtId="44" fontId="0" fillId="0" borderId="48" xfId="9" applyFont="1" applyFill="1" applyBorder="1" applyAlignment="1">
      <alignment horizontal="center" vertical="center" wrapText="1"/>
    </xf>
    <xf numFmtId="44" fontId="0" fillId="12" borderId="49" xfId="9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12" borderId="57" xfId="9" applyNumberFormat="1" applyFont="1" applyFill="1" applyBorder="1" applyAlignment="1">
      <alignment horizontal="center" vertical="center" wrapText="1"/>
    </xf>
    <xf numFmtId="0" fontId="0" fillId="12" borderId="50" xfId="0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24" fillId="4" borderId="8" xfId="10" applyFont="1" applyFill="1" applyBorder="1" applyAlignment="1">
      <alignment horizontal="left" vertical="center" wrapText="1"/>
    </xf>
    <xf numFmtId="0" fontId="21" fillId="0" borderId="5" xfId="10" applyFont="1" applyBorder="1" applyAlignment="1">
      <alignment vertical="center" wrapText="1"/>
    </xf>
    <xf numFmtId="0" fontId="0" fillId="0" borderId="51" xfId="0" applyBorder="1" applyAlignment="1">
      <alignment horizontal="center" vertical="center" wrapText="1"/>
    </xf>
    <xf numFmtId="44" fontId="0" fillId="13" borderId="48" xfId="9" applyFont="1" applyFill="1" applyBorder="1" applyAlignment="1">
      <alignment horizontal="center" vertical="center" wrapText="1"/>
    </xf>
    <xf numFmtId="0" fontId="21" fillId="14" borderId="5" xfId="10" applyFont="1" applyFill="1" applyBorder="1" applyAlignment="1">
      <alignment horizontal="center" vertical="center"/>
    </xf>
    <xf numFmtId="0" fontId="21" fillId="11" borderId="5" xfId="10" applyFont="1" applyFill="1" applyBorder="1" applyAlignment="1">
      <alignment horizontal="center" vertical="center"/>
    </xf>
    <xf numFmtId="4" fontId="0" fillId="15" borderId="59" xfId="0" applyNumberFormat="1" applyFill="1" applyBorder="1" applyAlignment="1">
      <alignment horizontal="center" vertical="center"/>
    </xf>
    <xf numFmtId="0" fontId="41" fillId="0" borderId="5" xfId="10" applyFont="1" applyBorder="1" applyAlignment="1">
      <alignment vertical="center" wrapText="1"/>
    </xf>
    <xf numFmtId="0" fontId="44" fillId="0" borderId="62" xfId="0" applyFont="1" applyBorder="1" applyAlignment="1">
      <alignment horizontal="center" vertical="center"/>
    </xf>
    <xf numFmtId="0" fontId="45" fillId="11" borderId="5" xfId="10" applyFont="1" applyFill="1" applyBorder="1" applyAlignment="1">
      <alignment vertical="center" wrapText="1"/>
    </xf>
    <xf numFmtId="0" fontId="0" fillId="10" borderId="0" xfId="0" applyFill="1"/>
    <xf numFmtId="0" fontId="46" fillId="0" borderId="0" xfId="0" applyFont="1"/>
    <xf numFmtId="0" fontId="47" fillId="10" borderId="0" xfId="0" applyFont="1" applyFill="1" applyAlignment="1">
      <alignment horizontal="right" vertical="center"/>
    </xf>
    <xf numFmtId="0" fontId="47" fillId="10" borderId="0" xfId="0" applyFont="1" applyFill="1"/>
    <xf numFmtId="0" fontId="47" fillId="10" borderId="0" xfId="0" applyFont="1" applyFill="1" applyAlignment="1">
      <alignment horizontal="center" vertical="center"/>
    </xf>
    <xf numFmtId="4" fontId="47" fillId="10" borderId="0" xfId="0" applyNumberFormat="1" applyFont="1" applyFill="1"/>
    <xf numFmtId="0" fontId="48" fillId="10" borderId="0" xfId="0" applyFont="1" applyFill="1"/>
    <xf numFmtId="0" fontId="47" fillId="10" borderId="0" xfId="0" applyFont="1" applyFill="1" applyAlignment="1">
      <alignment horizontal="right"/>
    </xf>
    <xf numFmtId="167" fontId="47" fillId="10" borderId="0" xfId="0" applyNumberFormat="1" applyFont="1" applyFill="1"/>
    <xf numFmtId="0" fontId="49" fillId="9" borderId="0" xfId="0" applyFont="1" applyFill="1"/>
    <xf numFmtId="10" fontId="47" fillId="10" borderId="0" xfId="0" applyNumberFormat="1" applyFont="1" applyFill="1"/>
    <xf numFmtId="0" fontId="19" fillId="4" borderId="6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4" fillId="0" borderId="67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0" fontId="44" fillId="0" borderId="68" xfId="0" applyFont="1" applyBorder="1" applyAlignment="1">
      <alignment vertical="center"/>
    </xf>
    <xf numFmtId="166" fontId="27" fillId="0" borderId="69" xfId="0" applyNumberFormat="1" applyFont="1" applyBorder="1" applyAlignment="1">
      <alignment horizontal="center" vertical="center"/>
    </xf>
    <xf numFmtId="44" fontId="44" fillId="0" borderId="70" xfId="9" applyFont="1" applyBorder="1" applyAlignment="1">
      <alignment vertical="center"/>
    </xf>
    <xf numFmtId="0" fontId="44" fillId="0" borderId="71" xfId="0" applyFont="1" applyBorder="1" applyAlignment="1">
      <alignment horizontal="center" vertical="center"/>
    </xf>
    <xf numFmtId="0" fontId="44" fillId="0" borderId="69" xfId="0" applyFont="1" applyBorder="1" applyAlignment="1">
      <alignment horizontal="center" vertical="center"/>
    </xf>
    <xf numFmtId="0" fontId="44" fillId="0" borderId="69" xfId="0" applyFont="1" applyBorder="1" applyAlignment="1">
      <alignment vertical="center"/>
    </xf>
    <xf numFmtId="44" fontId="44" fillId="0" borderId="72" xfId="9" applyFont="1" applyBorder="1" applyAlignment="1">
      <alignment vertical="center"/>
    </xf>
    <xf numFmtId="0" fontId="0" fillId="0" borderId="64" xfId="0" applyBorder="1" applyAlignment="1">
      <alignment horizontal="right" vertical="center"/>
    </xf>
    <xf numFmtId="0" fontId="0" fillId="0" borderId="64" xfId="0" applyBorder="1" applyAlignment="1">
      <alignment vertical="center"/>
    </xf>
    <xf numFmtId="0" fontId="0" fillId="0" borderId="64" xfId="0" applyBorder="1" applyAlignment="1">
      <alignment horizontal="center" vertical="center"/>
    </xf>
    <xf numFmtId="4" fontId="0" fillId="0" borderId="64" xfId="0" applyNumberFormat="1" applyBorder="1" applyAlignment="1">
      <alignment vertical="center"/>
    </xf>
    <xf numFmtId="0" fontId="0" fillId="10" borderId="73" xfId="0" applyFill="1" applyBorder="1" applyAlignment="1">
      <alignment horizontal="right" vertical="center"/>
    </xf>
    <xf numFmtId="0" fontId="0" fillId="10" borderId="73" xfId="0" applyFill="1" applyBorder="1" applyAlignment="1">
      <alignment horizontal="left" vertical="center"/>
    </xf>
    <xf numFmtId="0" fontId="0" fillId="10" borderId="73" xfId="0" applyFill="1" applyBorder="1" applyAlignment="1">
      <alignment vertical="center"/>
    </xf>
    <xf numFmtId="0" fontId="0" fillId="10" borderId="73" xfId="0" applyFill="1" applyBorder="1" applyAlignment="1">
      <alignment horizontal="center" vertical="center"/>
    </xf>
    <xf numFmtId="4" fontId="0" fillId="10" borderId="73" xfId="0" applyNumberFormat="1" applyFill="1" applyBorder="1" applyAlignment="1">
      <alignment vertical="center"/>
    </xf>
    <xf numFmtId="166" fontId="27" fillId="0" borderId="68" xfId="0" applyNumberFormat="1" applyFont="1" applyBorder="1" applyAlignment="1">
      <alignment horizontal="center" vertical="center"/>
    </xf>
    <xf numFmtId="44" fontId="27" fillId="0" borderId="69" xfId="9" applyFont="1" applyBorder="1" applyAlignment="1">
      <alignment vertical="center"/>
    </xf>
    <xf numFmtId="44" fontId="44" fillId="0" borderId="72" xfId="9" applyFont="1" applyFill="1" applyBorder="1" applyAlignment="1">
      <alignment vertical="center"/>
    </xf>
    <xf numFmtId="0" fontId="40" fillId="0" borderId="0" xfId="0" applyFont="1"/>
    <xf numFmtId="0" fontId="0" fillId="0" borderId="75" xfId="0" applyBorder="1" applyAlignment="1">
      <alignment horizontal="right" vertical="center"/>
    </xf>
    <xf numFmtId="0" fontId="0" fillId="0" borderId="75" xfId="0" applyBorder="1" applyAlignment="1">
      <alignment vertical="center"/>
    </xf>
    <xf numFmtId="4" fontId="0" fillId="0" borderId="75" xfId="0" applyNumberFormat="1" applyBorder="1" applyAlignment="1">
      <alignment vertical="center"/>
    </xf>
    <xf numFmtId="44" fontId="50" fillId="10" borderId="76" xfId="9" applyFont="1" applyFill="1" applyBorder="1" applyAlignment="1">
      <alignment horizontal="center" vertical="center"/>
    </xf>
    <xf numFmtId="0" fontId="0" fillId="0" borderId="64" xfId="0" applyBorder="1" applyAlignment="1">
      <alignment vertical="center" wrapText="1"/>
    </xf>
    <xf numFmtId="0" fontId="0" fillId="0" borderId="69" xfId="0" applyBorder="1" applyAlignment="1">
      <alignment horizontal="right" vertical="center"/>
    </xf>
    <xf numFmtId="0" fontId="19" fillId="9" borderId="69" xfId="0" applyFont="1" applyFill="1" applyBorder="1" applyAlignment="1">
      <alignment horizontal="center" vertical="center"/>
    </xf>
    <xf numFmtId="4" fontId="0" fillId="0" borderId="69" xfId="0" applyNumberFormat="1" applyBorder="1" applyAlignment="1">
      <alignment vertical="center"/>
    </xf>
    <xf numFmtId="0" fontId="0" fillId="0" borderId="69" xfId="0" applyBorder="1" applyAlignment="1">
      <alignment vertical="center"/>
    </xf>
    <xf numFmtId="0" fontId="44" fillId="0" borderId="75" xfId="0" applyFont="1" applyBorder="1" applyAlignment="1">
      <alignment vertical="center"/>
    </xf>
    <xf numFmtId="0" fontId="0" fillId="0" borderId="75" xfId="0" applyBorder="1" applyAlignment="1">
      <alignment horizontal="center" vertical="center"/>
    </xf>
    <xf numFmtId="44" fontId="50" fillId="17" borderId="76" xfId="9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4" fontId="0" fillId="10" borderId="0" xfId="0" applyNumberFormat="1" applyFill="1"/>
    <xf numFmtId="0" fontId="51" fillId="0" borderId="74" xfId="0" applyFont="1" applyBorder="1" applyAlignment="1">
      <alignment horizontal="right" vertical="center"/>
    </xf>
    <xf numFmtId="0" fontId="51" fillId="0" borderId="74" xfId="0" applyFont="1" applyBorder="1" applyAlignment="1">
      <alignment vertical="center"/>
    </xf>
    <xf numFmtId="44" fontId="53" fillId="10" borderId="56" xfId="9" applyFont="1" applyFill="1" applyBorder="1" applyAlignment="1">
      <alignment horizontal="center" vertical="center"/>
    </xf>
    <xf numFmtId="0" fontId="51" fillId="0" borderId="0" xfId="0" applyFont="1"/>
    <xf numFmtId="0" fontId="44" fillId="0" borderId="77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44" fillId="0" borderId="61" xfId="0" applyFont="1" applyBorder="1" applyAlignment="1">
      <alignment vertical="center"/>
    </xf>
    <xf numFmtId="166" fontId="27" fillId="0" borderId="61" xfId="0" applyNumberFormat="1" applyFont="1" applyBorder="1" applyAlignment="1">
      <alignment horizontal="center" vertical="center"/>
    </xf>
    <xf numFmtId="43" fontId="27" fillId="0" borderId="61" xfId="8" applyFont="1" applyBorder="1" applyAlignment="1">
      <alignment vertical="center"/>
    </xf>
    <xf numFmtId="44" fontId="44" fillId="0" borderId="78" xfId="9" applyFont="1" applyBorder="1" applyAlignment="1">
      <alignment vertical="center"/>
    </xf>
    <xf numFmtId="0" fontId="44" fillId="0" borderId="79" xfId="0" applyFont="1" applyBorder="1" applyAlignment="1">
      <alignment horizontal="center" vertical="center"/>
    </xf>
    <xf numFmtId="0" fontId="44" fillId="0" borderId="62" xfId="0" applyFont="1" applyBorder="1" applyAlignment="1">
      <alignment vertical="center"/>
    </xf>
    <xf numFmtId="166" fontId="44" fillId="0" borderId="62" xfId="0" applyNumberFormat="1" applyFont="1" applyBorder="1" applyAlignment="1">
      <alignment horizontal="center" vertical="center"/>
    </xf>
    <xf numFmtId="43" fontId="27" fillId="0" borderId="62" xfId="8" applyFont="1" applyBorder="1" applyAlignment="1">
      <alignment vertical="center"/>
    </xf>
    <xf numFmtId="44" fontId="44" fillId="0" borderId="80" xfId="9" applyFont="1" applyBorder="1" applyAlignment="1">
      <alignment vertical="center"/>
    </xf>
    <xf numFmtId="0" fontId="44" fillId="0" borderId="81" xfId="0" applyFont="1" applyBorder="1" applyAlignment="1">
      <alignment horizontal="center" vertical="center"/>
    </xf>
    <xf numFmtId="0" fontId="44" fillId="0" borderId="82" xfId="0" applyFont="1" applyBorder="1" applyAlignment="1">
      <alignment horizontal="center" vertical="center"/>
    </xf>
    <xf numFmtId="0" fontId="44" fillId="0" borderId="82" xfId="0" applyFont="1" applyBorder="1" applyAlignment="1">
      <alignment vertical="center"/>
    </xf>
    <xf numFmtId="166" fontId="44" fillId="0" borderId="82" xfId="0" applyNumberFormat="1" applyFont="1" applyBorder="1" applyAlignment="1">
      <alignment horizontal="center" vertical="center"/>
    </xf>
    <xf numFmtId="43" fontId="27" fillId="0" borderId="82" xfId="8" applyFont="1" applyBorder="1" applyAlignment="1">
      <alignment vertical="center"/>
    </xf>
    <xf numFmtId="44" fontId="44" fillId="0" borderId="83" xfId="9" applyFont="1" applyBorder="1" applyAlignment="1">
      <alignment vertical="center"/>
    </xf>
    <xf numFmtId="0" fontId="51" fillId="0" borderId="84" xfId="0" applyFont="1" applyBorder="1" applyAlignment="1">
      <alignment horizontal="right" vertical="center"/>
    </xf>
    <xf numFmtId="0" fontId="51" fillId="0" borderId="85" xfId="0" applyFont="1" applyBorder="1" applyAlignment="1">
      <alignment horizontal="right" vertical="center"/>
    </xf>
    <xf numFmtId="0" fontId="51" fillId="0" borderId="85" xfId="0" applyFont="1" applyBorder="1" applyAlignment="1">
      <alignment vertical="center"/>
    </xf>
    <xf numFmtId="44" fontId="53" fillId="10" borderId="55" xfId="9" applyFont="1" applyFill="1" applyBorder="1" applyAlignment="1">
      <alignment horizontal="center" vertical="center"/>
    </xf>
    <xf numFmtId="0" fontId="45" fillId="0" borderId="5" xfId="10" applyFont="1" applyBorder="1" applyAlignment="1">
      <alignment vertical="center" wrapText="1"/>
    </xf>
    <xf numFmtId="0" fontId="42" fillId="0" borderId="5" xfId="10" applyFont="1" applyBorder="1" applyAlignment="1">
      <alignment vertical="center" wrapText="1"/>
    </xf>
    <xf numFmtId="0" fontId="43" fillId="0" borderId="5" xfId="10" applyFont="1" applyBorder="1" applyAlignment="1">
      <alignment vertical="center" wrapText="1"/>
    </xf>
    <xf numFmtId="0" fontId="16" fillId="0" borderId="0" xfId="0" applyFont="1" applyAlignment="1">
      <alignment vertical="center"/>
    </xf>
    <xf numFmtId="4" fontId="0" fillId="0" borderId="59" xfId="0" applyNumberFormat="1" applyBorder="1" applyAlignment="1">
      <alignment horizontal="center" vertical="center"/>
    </xf>
    <xf numFmtId="4" fontId="5" fillId="5" borderId="59" xfId="0" applyNumberFormat="1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4" fontId="0" fillId="0" borderId="59" xfId="0" applyNumberFormat="1" applyBorder="1" applyAlignment="1">
      <alignment horizontal="left" vertical="center" wrapText="1"/>
    </xf>
    <xf numFmtId="4" fontId="19" fillId="15" borderId="59" xfId="0" applyNumberFormat="1" applyFont="1" applyFill="1" applyBorder="1" applyAlignment="1">
      <alignment horizontal="center" vertical="center" wrapText="1"/>
    </xf>
    <xf numFmtId="4" fontId="19" fillId="15" borderId="59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left" vertical="center" wrapText="1"/>
    </xf>
    <xf numFmtId="0" fontId="21" fillId="0" borderId="5" xfId="10" applyFont="1" applyBorder="1" applyAlignment="1">
      <alignment horizontal="center" vertical="center" wrapText="1"/>
    </xf>
    <xf numFmtId="0" fontId="21" fillId="11" borderId="5" xfId="10" applyFont="1" applyFill="1" applyBorder="1" applyAlignment="1">
      <alignment horizontal="center" vertical="center" wrapText="1"/>
    </xf>
    <xf numFmtId="1" fontId="0" fillId="12" borderId="50" xfId="0" applyNumberFormat="1" applyFill="1" applyBorder="1" applyAlignment="1">
      <alignment horizontal="center" vertical="center" wrapText="1"/>
    </xf>
    <xf numFmtId="0" fontId="26" fillId="0" borderId="5" xfId="10" applyFont="1" applyBorder="1" applyAlignment="1">
      <alignment horizontal="center" vertical="center"/>
    </xf>
    <xf numFmtId="44" fontId="55" fillId="12" borderId="49" xfId="9" applyFont="1" applyFill="1" applyBorder="1" applyAlignment="1">
      <alignment horizontal="center" vertical="center" wrapText="1"/>
    </xf>
    <xf numFmtId="0" fontId="55" fillId="0" borderId="50" xfId="0" applyFont="1" applyBorder="1" applyAlignment="1">
      <alignment horizontal="center" vertical="center"/>
    </xf>
    <xf numFmtId="0" fontId="55" fillId="0" borderId="51" xfId="0" applyFont="1" applyBorder="1" applyAlignment="1">
      <alignment horizontal="center" vertical="center"/>
    </xf>
    <xf numFmtId="170" fontId="55" fillId="0" borderId="48" xfId="0" applyNumberFormat="1" applyFont="1" applyBorder="1" applyAlignment="1">
      <alignment horizontal="left" vertical="center"/>
    </xf>
    <xf numFmtId="0" fontId="25" fillId="0" borderId="5" xfId="10" applyFont="1" applyBorder="1" applyAlignment="1">
      <alignment horizontal="center" vertical="center"/>
    </xf>
    <xf numFmtId="2" fontId="25" fillId="8" borderId="5" xfId="10" applyNumberFormat="1" applyFont="1" applyFill="1" applyBorder="1" applyAlignment="1">
      <alignment horizontal="center" vertical="center"/>
    </xf>
    <xf numFmtId="2" fontId="25" fillId="8" borderId="23" xfId="10" applyNumberFormat="1" applyFont="1" applyFill="1" applyBorder="1" applyAlignment="1">
      <alignment horizontal="center" vertical="center"/>
    </xf>
    <xf numFmtId="0" fontId="25" fillId="0" borderId="22" xfId="10" applyFont="1" applyBorder="1" applyAlignment="1">
      <alignment horizontal="center" vertical="center"/>
    </xf>
    <xf numFmtId="0" fontId="25" fillId="14" borderId="5" xfId="10" applyFont="1" applyFill="1" applyBorder="1" applyAlignment="1">
      <alignment horizontal="center" vertical="center"/>
    </xf>
    <xf numFmtId="0" fontId="25" fillId="0" borderId="5" xfId="10" applyFont="1" applyBorder="1" applyAlignment="1">
      <alignment vertical="center" wrapText="1"/>
    </xf>
    <xf numFmtId="0" fontId="46" fillId="12" borderId="57" xfId="9" applyNumberFormat="1" applyFont="1" applyFill="1" applyBorder="1" applyAlignment="1">
      <alignment horizontal="center" vertical="center" wrapText="1"/>
    </xf>
    <xf numFmtId="0" fontId="46" fillId="12" borderId="50" xfId="0" applyFont="1" applyFill="1" applyBorder="1" applyAlignment="1">
      <alignment horizontal="center" vertical="center" wrapText="1"/>
    </xf>
    <xf numFmtId="0" fontId="46" fillId="0" borderId="58" xfId="0" applyFont="1" applyBorder="1" applyAlignment="1">
      <alignment horizontal="center" vertical="center" wrapText="1"/>
    </xf>
    <xf numFmtId="165" fontId="27" fillId="0" borderId="0" xfId="0" applyNumberFormat="1" applyFont="1" applyAlignment="1">
      <alignment horizontal="center" vertical="center"/>
    </xf>
    <xf numFmtId="165" fontId="27" fillId="0" borderId="0" xfId="0" applyNumberFormat="1" applyFont="1" applyAlignment="1">
      <alignment vertical="center"/>
    </xf>
    <xf numFmtId="165" fontId="30" fillId="0" borderId="27" xfId="0" applyNumberFormat="1" applyFont="1" applyBorder="1" applyAlignment="1">
      <alignment vertical="center" wrapText="1"/>
    </xf>
    <xf numFmtId="165" fontId="31" fillId="0" borderId="30" xfId="0" applyNumberFormat="1" applyFont="1" applyBorder="1" applyAlignment="1">
      <alignment vertical="center" wrapText="1"/>
    </xf>
    <xf numFmtId="165" fontId="31" fillId="0" borderId="32" xfId="0" applyNumberFormat="1" applyFont="1" applyBorder="1" applyAlignment="1">
      <alignment vertical="center" wrapText="1"/>
    </xf>
    <xf numFmtId="165" fontId="33" fillId="10" borderId="0" xfId="0" applyNumberFormat="1" applyFont="1" applyFill="1" applyAlignment="1">
      <alignment vertical="center"/>
    </xf>
    <xf numFmtId="165" fontId="34" fillId="10" borderId="17" xfId="0" applyNumberFormat="1" applyFont="1" applyFill="1" applyBorder="1" applyAlignment="1">
      <alignment vertical="center"/>
    </xf>
    <xf numFmtId="165" fontId="9" fillId="2" borderId="9" xfId="1" applyNumberFormat="1" applyFont="1" applyFill="1" applyBorder="1" applyAlignment="1">
      <alignment vertical="center" wrapText="1"/>
    </xf>
    <xf numFmtId="0" fontId="36" fillId="6" borderId="5" xfId="0" applyFont="1" applyFill="1" applyBorder="1" applyAlignment="1">
      <alignment horizontal="center" vertical="center"/>
    </xf>
    <xf numFmtId="165" fontId="36" fillId="6" borderId="5" xfId="0" applyNumberFormat="1" applyFont="1" applyFill="1" applyBorder="1" applyAlignment="1">
      <alignment horizontal="center" vertical="center"/>
    </xf>
    <xf numFmtId="0" fontId="36" fillId="6" borderId="87" xfId="0" applyFont="1" applyFill="1" applyBorder="1" applyAlignment="1">
      <alignment horizontal="center" vertical="center"/>
    </xf>
    <xf numFmtId="0" fontId="56" fillId="0" borderId="5" xfId="10" applyFont="1" applyBorder="1" applyAlignment="1">
      <alignment vertical="center" wrapText="1"/>
    </xf>
    <xf numFmtId="0" fontId="21" fillId="18" borderId="5" xfId="10" applyFont="1" applyFill="1" applyBorder="1" applyAlignment="1">
      <alignment vertical="center" wrapText="1"/>
    </xf>
    <xf numFmtId="0" fontId="26" fillId="18" borderId="5" xfId="10" applyFont="1" applyFill="1" applyBorder="1" applyAlignment="1">
      <alignment vertical="center" wrapText="1"/>
    </xf>
    <xf numFmtId="2" fontId="0" fillId="12" borderId="57" xfId="9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31" fillId="0" borderId="32" xfId="0" applyFont="1" applyBorder="1" applyAlignment="1">
      <alignment horizontal="center" vertical="center" wrapText="1"/>
    </xf>
    <xf numFmtId="14" fontId="31" fillId="0" borderId="33" xfId="8" applyNumberFormat="1" applyFont="1" applyFill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5" fillId="5" borderId="42" xfId="0" applyFont="1" applyFill="1" applyBorder="1" applyAlignment="1">
      <alignment horizontal="center" vertical="center"/>
    </xf>
    <xf numFmtId="0" fontId="23" fillId="5" borderId="14" xfId="10" applyFont="1" applyFill="1" applyBorder="1" applyAlignment="1">
      <alignment horizontal="center" vertical="center"/>
    </xf>
    <xf numFmtId="0" fontId="23" fillId="5" borderId="17" xfId="10" applyFont="1" applyFill="1" applyBorder="1" applyAlignment="1">
      <alignment horizontal="center" vertical="center"/>
    </xf>
    <xf numFmtId="0" fontId="16" fillId="0" borderId="51" xfId="0" applyFont="1" applyBorder="1" applyAlignment="1">
      <alignment horizontal="center" vertical="center" wrapText="1"/>
    </xf>
    <xf numFmtId="49" fontId="16" fillId="0" borderId="51" xfId="0" applyNumberFormat="1" applyFont="1" applyBorder="1" applyAlignment="1">
      <alignment horizontal="center" vertical="center" wrapText="1"/>
    </xf>
    <xf numFmtId="14" fontId="16" fillId="0" borderId="48" xfId="0" applyNumberFormat="1" applyFont="1" applyBorder="1" applyAlignment="1">
      <alignment horizontal="left" vertical="center"/>
    </xf>
    <xf numFmtId="0" fontId="16" fillId="0" borderId="51" xfId="0" applyFont="1" applyBorder="1" applyAlignment="1">
      <alignment horizontal="center" vertical="center"/>
    </xf>
    <xf numFmtId="44" fontId="16" fillId="12" borderId="49" xfId="9" applyFont="1" applyFill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/>
    </xf>
    <xf numFmtId="170" fontId="16" fillId="0" borderId="48" xfId="0" applyNumberFormat="1" applyFont="1" applyBorder="1" applyAlignment="1">
      <alignment horizontal="left" vertical="center"/>
    </xf>
    <xf numFmtId="44" fontId="60" fillId="12" borderId="49" xfId="12" applyNumberFormat="1" applyFont="1" applyFill="1" applyBorder="1" applyAlignment="1" applyProtection="1">
      <alignment horizontal="center" vertical="center" wrapText="1"/>
    </xf>
    <xf numFmtId="49" fontId="16" fillId="0" borderId="51" xfId="0" applyNumberFormat="1" applyFont="1" applyBorder="1" applyAlignment="1">
      <alignment horizontal="center" vertical="center"/>
    </xf>
    <xf numFmtId="14" fontId="16" fillId="0" borderId="50" xfId="0" applyNumberFormat="1" applyFont="1" applyBorder="1" applyAlignment="1">
      <alignment horizontal="center" vertical="center"/>
    </xf>
    <xf numFmtId="49" fontId="16" fillId="0" borderId="50" xfId="0" applyNumberFormat="1" applyFont="1" applyBorder="1" applyAlignment="1">
      <alignment horizontal="center" vertical="center"/>
    </xf>
    <xf numFmtId="0" fontId="17" fillId="0" borderId="0" xfId="0" applyFont="1"/>
    <xf numFmtId="14" fontId="17" fillId="0" borderId="0" xfId="0" applyNumberFormat="1" applyFont="1"/>
    <xf numFmtId="44" fontId="17" fillId="12" borderId="89" xfId="9" applyFont="1" applyFill="1" applyBorder="1" applyAlignment="1">
      <alignment horizontal="center" vertical="center" wrapText="1"/>
    </xf>
    <xf numFmtId="0" fontId="17" fillId="0" borderId="90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 wrapText="1"/>
    </xf>
    <xf numFmtId="44" fontId="17" fillId="12" borderId="49" xfId="9" applyFont="1" applyFill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174" fontId="17" fillId="12" borderId="49" xfId="9" applyNumberFormat="1" applyFont="1" applyFill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10" fontId="18" fillId="0" borderId="55" xfId="3" applyNumberFormat="1" applyBorder="1" applyAlignment="1">
      <alignment horizontal="center"/>
    </xf>
    <xf numFmtId="0" fontId="0" fillId="19" borderId="0" xfId="0" applyFill="1" applyAlignment="1">
      <alignment horizontal="left" vertical="center"/>
    </xf>
    <xf numFmtId="0" fontId="62" fillId="20" borderId="0" xfId="0" applyFont="1" applyFill="1" applyAlignment="1" applyProtection="1">
      <alignment horizontal="center" vertical="center"/>
      <protection locked="0"/>
    </xf>
    <xf numFmtId="0" fontId="62" fillId="20" borderId="95" xfId="0" applyFont="1" applyFill="1" applyBorder="1" applyAlignment="1" applyProtection="1">
      <alignment horizontal="center" vertical="center"/>
      <protection locked="0"/>
    </xf>
    <xf numFmtId="0" fontId="62" fillId="20" borderId="96" xfId="0" applyFont="1" applyFill="1" applyBorder="1" applyAlignment="1" applyProtection="1">
      <alignment horizontal="center" vertical="center"/>
      <protection locked="0"/>
    </xf>
    <xf numFmtId="0" fontId="0" fillId="0" borderId="50" xfId="0" applyBorder="1" applyAlignment="1" applyProtection="1">
      <alignment horizontal="center" vertical="center" wrapText="1"/>
      <protection locked="0"/>
    </xf>
    <xf numFmtId="14" fontId="0" fillId="0" borderId="51" xfId="0" applyNumberFormat="1" applyBorder="1" applyAlignment="1" applyProtection="1">
      <alignment horizontal="center" vertical="center"/>
      <protection locked="0"/>
    </xf>
    <xf numFmtId="49" fontId="0" fillId="0" borderId="50" xfId="0" applyNumberFormat="1" applyBorder="1" applyAlignment="1" applyProtection="1">
      <alignment horizontal="center" vertical="center" wrapText="1"/>
      <protection locked="0"/>
    </xf>
    <xf numFmtId="14" fontId="17" fillId="0" borderId="48" xfId="0" applyNumberFormat="1" applyFont="1" applyBorder="1" applyAlignment="1">
      <alignment horizontal="center" vertical="center"/>
    </xf>
    <xf numFmtId="0" fontId="0" fillId="0" borderId="90" xfId="0" applyBorder="1" applyAlignment="1" applyProtection="1">
      <alignment horizontal="center" vertical="center" wrapText="1"/>
      <protection locked="0"/>
    </xf>
    <xf numFmtId="0" fontId="62" fillId="20" borderId="89" xfId="0" applyFont="1" applyFill="1" applyBorder="1" applyAlignment="1" applyProtection="1">
      <alignment horizontal="center" vertical="center"/>
      <protection locked="0"/>
    </xf>
    <xf numFmtId="0" fontId="62" fillId="20" borderId="91" xfId="0" applyFont="1" applyFill="1" applyBorder="1" applyAlignment="1" applyProtection="1">
      <alignment horizontal="center" vertical="center"/>
      <protection locked="0"/>
    </xf>
    <xf numFmtId="0" fontId="62" fillId="20" borderId="97" xfId="0" applyFont="1" applyFill="1" applyBorder="1" applyAlignment="1" applyProtection="1">
      <alignment horizontal="center" vertical="center"/>
      <protection locked="0"/>
    </xf>
    <xf numFmtId="0" fontId="62" fillId="20" borderId="98" xfId="0" applyFont="1" applyFill="1" applyBorder="1" applyAlignment="1" applyProtection="1">
      <alignment horizontal="center" vertical="center"/>
      <protection locked="0"/>
    </xf>
    <xf numFmtId="0" fontId="62" fillId="20" borderId="99" xfId="0" applyFont="1" applyFill="1" applyBorder="1" applyAlignment="1" applyProtection="1">
      <alignment horizontal="center" vertical="center" wrapText="1"/>
      <protection locked="0"/>
    </xf>
    <xf numFmtId="0" fontId="62" fillId="20" borderId="99" xfId="0" applyFont="1" applyFill="1" applyBorder="1" applyAlignment="1" applyProtection="1">
      <alignment horizontal="center" vertical="center"/>
      <protection locked="0"/>
    </xf>
    <xf numFmtId="14" fontId="62" fillId="20" borderId="100" xfId="0" applyNumberFormat="1" applyFont="1" applyFill="1" applyBorder="1" applyAlignment="1" applyProtection="1">
      <alignment horizontal="center" vertical="center"/>
      <protection locked="0"/>
    </xf>
    <xf numFmtId="44" fontId="18" fillId="12" borderId="49" xfId="17" applyFont="1" applyFill="1" applyBorder="1" applyAlignment="1" applyProtection="1">
      <alignment horizontal="center" vertical="center" wrapText="1"/>
      <protection locked="0"/>
    </xf>
    <xf numFmtId="44" fontId="0" fillId="12" borderId="49" xfId="17" applyFont="1" applyFill="1" applyBorder="1" applyAlignment="1" applyProtection="1">
      <alignment horizontal="center" vertical="center" wrapText="1"/>
      <protection locked="0"/>
    </xf>
    <xf numFmtId="0" fontId="18" fillId="0" borderId="90" xfId="10" applyBorder="1" applyAlignment="1" applyProtection="1">
      <alignment horizontal="center" vertical="center"/>
      <protection locked="0"/>
    </xf>
    <xf numFmtId="0" fontId="61" fillId="20" borderId="99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wrapText="1"/>
    </xf>
    <xf numFmtId="44" fontId="18" fillId="0" borderId="90" xfId="10" applyNumberFormat="1" applyBorder="1" applyAlignment="1" applyProtection="1">
      <alignment horizontal="center" vertical="center"/>
      <protection locked="0"/>
    </xf>
    <xf numFmtId="2" fontId="0" fillId="0" borderId="91" xfId="0" applyNumberFormat="1" applyBorder="1" applyAlignment="1">
      <alignment horizontal="center" vertical="center" wrapText="1"/>
    </xf>
    <xf numFmtId="164" fontId="15" fillId="0" borderId="91" xfId="21" applyFill="1" applyBorder="1" applyAlignment="1" applyProtection="1">
      <alignment horizontal="center" vertical="center" wrapText="1"/>
    </xf>
    <xf numFmtId="44" fontId="0" fillId="0" borderId="91" xfId="0" applyNumberFormat="1" applyBorder="1" applyAlignment="1">
      <alignment horizontal="center" vertical="center" wrapText="1"/>
    </xf>
    <xf numFmtId="10" fontId="18" fillId="0" borderId="50" xfId="3" applyNumberFormat="1" applyBorder="1" applyAlignment="1" applyProtection="1">
      <alignment horizontal="center" vertical="center"/>
    </xf>
    <xf numFmtId="0" fontId="22" fillId="7" borderId="0" xfId="10" applyFont="1" applyFill="1" applyAlignment="1">
      <alignment horizontal="center" vertical="center"/>
    </xf>
    <xf numFmtId="2" fontId="0" fillId="0" borderId="51" xfId="0" applyNumberFormat="1" applyBorder="1" applyAlignment="1" applyProtection="1">
      <alignment horizontal="center" vertical="center" wrapText="1"/>
      <protection locked="0"/>
    </xf>
    <xf numFmtId="2" fontId="0" fillId="0" borderId="104" xfId="0" applyNumberFormat="1" applyBorder="1" applyAlignment="1">
      <alignment horizontal="center" vertical="center" wrapText="1"/>
    </xf>
    <xf numFmtId="44" fontId="0" fillId="0" borderId="103" xfId="22" applyFont="1" applyFill="1" applyBorder="1" applyAlignment="1" applyProtection="1">
      <alignment horizontal="center" vertical="center" wrapText="1"/>
    </xf>
    <xf numFmtId="44" fontId="0" fillId="13" borderId="103" xfId="9" applyFont="1" applyFill="1" applyBorder="1" applyAlignment="1">
      <alignment horizontal="center" vertical="center" wrapText="1"/>
    </xf>
    <xf numFmtId="0" fontId="26" fillId="0" borderId="5" xfId="10" applyFont="1" applyBorder="1" applyAlignment="1">
      <alignment vertical="center" wrapText="1"/>
    </xf>
    <xf numFmtId="0" fontId="65" fillId="0" borderId="5" xfId="10" applyFont="1" applyBorder="1" applyAlignment="1">
      <alignment vertical="center" wrapText="1"/>
    </xf>
    <xf numFmtId="49" fontId="0" fillId="0" borderId="51" xfId="0" applyNumberFormat="1" applyBorder="1" applyAlignment="1">
      <alignment horizontal="center" vertical="center" wrapText="1"/>
    </xf>
    <xf numFmtId="2" fontId="46" fillId="12" borderId="57" xfId="9" applyNumberFormat="1" applyFont="1" applyFill="1" applyBorder="1" applyAlignment="1">
      <alignment horizontal="center" vertical="center" wrapText="1"/>
    </xf>
    <xf numFmtId="0" fontId="21" fillId="16" borderId="5" xfId="10" applyFont="1" applyFill="1" applyBorder="1" applyAlignment="1">
      <alignment vertical="center" wrapText="1"/>
    </xf>
    <xf numFmtId="0" fontId="66" fillId="12" borderId="57" xfId="9" applyNumberFormat="1" applyFont="1" applyFill="1" applyBorder="1" applyAlignment="1">
      <alignment horizontal="center" vertical="center"/>
    </xf>
    <xf numFmtId="0" fontId="20" fillId="23" borderId="55" xfId="0" applyFont="1" applyFill="1" applyBorder="1" applyAlignment="1">
      <alignment horizontal="center" vertical="center"/>
    </xf>
    <xf numFmtId="0" fontId="20" fillId="23" borderId="114" xfId="0" applyFont="1" applyFill="1" applyBorder="1" applyAlignment="1">
      <alignment horizontal="center" vertical="center" wrapText="1"/>
    </xf>
    <xf numFmtId="0" fontId="20" fillId="23" borderId="115" xfId="0" applyFont="1" applyFill="1" applyBorder="1" applyAlignment="1">
      <alignment horizontal="center" vertical="center"/>
    </xf>
    <xf numFmtId="0" fontId="0" fillId="0" borderId="116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/>
    </xf>
    <xf numFmtId="0" fontId="0" fillId="0" borderId="118" xfId="0" applyBorder="1" applyAlignment="1">
      <alignment horizontal="center" vertical="center" wrapText="1"/>
    </xf>
    <xf numFmtId="0" fontId="0" fillId="0" borderId="119" xfId="0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21" borderId="114" xfId="0" applyFont="1" applyFill="1" applyBorder="1" applyAlignment="1">
      <alignment horizontal="center" vertical="center" wrapText="1"/>
    </xf>
    <xf numFmtId="0" fontId="20" fillId="21" borderId="56" xfId="0" applyFont="1" applyFill="1" applyBorder="1" applyAlignment="1">
      <alignment horizontal="center" vertical="center" wrapText="1"/>
    </xf>
    <xf numFmtId="0" fontId="20" fillId="21" borderId="115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166" fontId="0" fillId="6" borderId="117" xfId="0" applyNumberFormat="1" applyFill="1" applyBorder="1" applyAlignment="1">
      <alignment horizontal="center" vertical="center" wrapText="1"/>
    </xf>
    <xf numFmtId="0" fontId="0" fillId="0" borderId="120" xfId="0" applyBorder="1" applyAlignment="1">
      <alignment horizontal="center" vertical="center"/>
    </xf>
    <xf numFmtId="0" fontId="0" fillId="0" borderId="125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/>
    </xf>
    <xf numFmtId="0" fontId="0" fillId="0" borderId="127" xfId="0" applyBorder="1" applyAlignment="1">
      <alignment horizontal="center" vertical="center" wrapText="1"/>
    </xf>
    <xf numFmtId="0" fontId="0" fillId="0" borderId="128" xfId="0" applyBorder="1" applyAlignment="1">
      <alignment horizontal="center" vertical="center"/>
    </xf>
    <xf numFmtId="0" fontId="20" fillId="6" borderId="122" xfId="0" applyFont="1" applyFill="1" applyBorder="1" applyAlignment="1">
      <alignment horizontal="center" vertical="center" wrapText="1"/>
    </xf>
    <xf numFmtId="0" fontId="20" fillId="6" borderId="123" xfId="0" applyFont="1" applyFill="1" applyBorder="1" applyAlignment="1">
      <alignment horizontal="center" vertical="center"/>
    </xf>
    <xf numFmtId="4" fontId="0" fillId="0" borderId="121" xfId="0" applyNumberFormat="1" applyBorder="1" applyAlignment="1">
      <alignment horizontal="center" vertical="center"/>
    </xf>
    <xf numFmtId="0" fontId="67" fillId="6" borderId="124" xfId="0" applyFont="1" applyFill="1" applyBorder="1" applyAlignment="1">
      <alignment horizontal="center" vertical="center" wrapText="1"/>
    </xf>
    <xf numFmtId="0" fontId="0" fillId="0" borderId="126" xfId="0" applyBorder="1" applyAlignment="1">
      <alignment horizontal="center" vertical="center" wrapText="1"/>
    </xf>
    <xf numFmtId="0" fontId="39" fillId="0" borderId="126" xfId="12" applyBorder="1" applyAlignment="1" applyProtection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10" fontId="27" fillId="0" borderId="0" xfId="14" applyNumberFormat="1" applyFont="1" applyAlignment="1">
      <alignment vertical="center"/>
    </xf>
    <xf numFmtId="10" fontId="0" fillId="0" borderId="0" xfId="14" applyNumberFormat="1" applyFont="1" applyAlignment="1">
      <alignment vertical="center"/>
    </xf>
    <xf numFmtId="0" fontId="13" fillId="4" borderId="10" xfId="0" applyFont="1" applyFill="1" applyBorder="1" applyAlignment="1">
      <alignment vertical="center"/>
    </xf>
    <xf numFmtId="0" fontId="13" fillId="4" borderId="11" xfId="0" applyFont="1" applyFill="1" applyBorder="1" applyAlignment="1">
      <alignment vertical="center"/>
    </xf>
    <xf numFmtId="0" fontId="13" fillId="4" borderId="11" xfId="0" applyFont="1" applyFill="1" applyBorder="1" applyAlignment="1">
      <alignment vertical="center" wrapText="1"/>
    </xf>
    <xf numFmtId="0" fontId="13" fillId="4" borderId="40" xfId="0" applyFont="1" applyFill="1" applyBorder="1" applyAlignment="1">
      <alignment vertical="center"/>
    </xf>
    <xf numFmtId="165" fontId="5" fillId="5" borderId="7" xfId="0" applyNumberFormat="1" applyFont="1" applyFill="1" applyBorder="1" applyAlignment="1">
      <alignment horizontal="center" vertical="center" wrapText="1"/>
    </xf>
    <xf numFmtId="165" fontId="36" fillId="6" borderId="7" xfId="0" applyNumberFormat="1" applyFont="1" applyFill="1" applyBorder="1" applyAlignment="1">
      <alignment horizontal="center" vertical="center" wrapText="1"/>
    </xf>
    <xf numFmtId="0" fontId="13" fillId="4" borderId="136" xfId="0" applyFont="1" applyFill="1" applyBorder="1" applyAlignment="1">
      <alignment vertical="center"/>
    </xf>
    <xf numFmtId="165" fontId="5" fillId="5" borderId="137" xfId="0" applyNumberFormat="1" applyFont="1" applyFill="1" applyBorder="1" applyAlignment="1">
      <alignment horizontal="center" vertical="center" wrapText="1"/>
    </xf>
    <xf numFmtId="10" fontId="36" fillId="6" borderId="137" xfId="14" applyNumberFormat="1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 vertical="center"/>
    </xf>
    <xf numFmtId="0" fontId="29" fillId="0" borderId="130" xfId="0" applyFont="1" applyBorder="1" applyAlignment="1">
      <alignment horizontal="center" vertical="center" wrapText="1"/>
    </xf>
    <xf numFmtId="0" fontId="29" fillId="0" borderId="131" xfId="0" applyFont="1" applyBorder="1" applyAlignment="1">
      <alignment horizontal="center" vertical="center" wrapText="1"/>
    </xf>
    <xf numFmtId="0" fontId="29" fillId="0" borderId="132" xfId="0" applyFont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29" fillId="0" borderId="133" xfId="0" applyFont="1" applyBorder="1" applyAlignment="1">
      <alignment horizontal="center" vertical="center" wrapText="1"/>
    </xf>
    <xf numFmtId="0" fontId="29" fillId="0" borderId="134" xfId="0" applyFont="1" applyBorder="1" applyAlignment="1">
      <alignment horizontal="center" vertical="center" wrapText="1"/>
    </xf>
    <xf numFmtId="0" fontId="29" fillId="0" borderId="135" xfId="0" applyFont="1" applyBorder="1" applyAlignment="1">
      <alignment horizontal="center" vertical="center" wrapText="1"/>
    </xf>
    <xf numFmtId="0" fontId="34" fillId="10" borderId="17" xfId="0" applyFont="1" applyFill="1" applyBorder="1" applyAlignment="1">
      <alignment horizontal="right" vertical="center"/>
    </xf>
    <xf numFmtId="0" fontId="9" fillId="2" borderId="7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58" fillId="2" borderId="7" xfId="1" applyFont="1" applyFill="1" applyBorder="1" applyAlignment="1">
      <alignment horizontal="left" vertical="center" wrapText="1"/>
    </xf>
    <xf numFmtId="0" fontId="58" fillId="2" borderId="8" xfId="1" applyFont="1" applyFill="1" applyBorder="1" applyAlignment="1">
      <alignment horizontal="left" vertical="center" wrapText="1"/>
    </xf>
    <xf numFmtId="0" fontId="58" fillId="2" borderId="9" xfId="1" applyFont="1" applyFill="1" applyBorder="1" applyAlignment="1">
      <alignment horizontal="left" vertical="center" wrapText="1"/>
    </xf>
    <xf numFmtId="17" fontId="9" fillId="2" borderId="8" xfId="1" applyNumberFormat="1" applyFont="1" applyFill="1" applyBorder="1" applyAlignment="1">
      <alignment horizontal="left" vertical="center" wrapText="1"/>
    </xf>
    <xf numFmtId="17" fontId="9" fillId="2" borderId="9" xfId="1" applyNumberFormat="1" applyFont="1" applyFill="1" applyBorder="1" applyAlignment="1">
      <alignment horizontal="left" vertical="center" wrapText="1"/>
    </xf>
    <xf numFmtId="0" fontId="59" fillId="10" borderId="105" xfId="0" applyFont="1" applyFill="1" applyBorder="1" applyAlignment="1">
      <alignment horizontal="center" vertical="center"/>
    </xf>
    <xf numFmtId="0" fontId="59" fillId="10" borderId="106" xfId="0" applyFont="1" applyFill="1" applyBorder="1" applyAlignment="1">
      <alignment horizontal="center" vertical="center"/>
    </xf>
    <xf numFmtId="0" fontId="59" fillId="10" borderId="107" xfId="0" applyFont="1" applyFill="1" applyBorder="1" applyAlignment="1">
      <alignment horizontal="center" vertical="center"/>
    </xf>
    <xf numFmtId="4" fontId="10" fillId="0" borderId="87" xfId="1" applyNumberFormat="1" applyFont="1" applyBorder="1" applyAlignment="1">
      <alignment horizontal="center" vertical="center"/>
    </xf>
    <xf numFmtId="4" fontId="10" fillId="0" borderId="108" xfId="1" applyNumberFormat="1" applyFont="1" applyBorder="1" applyAlignment="1">
      <alignment horizontal="center" vertical="center"/>
    </xf>
    <xf numFmtId="4" fontId="10" fillId="0" borderId="20" xfId="1" applyNumberFormat="1" applyFont="1" applyBorder="1" applyAlignment="1">
      <alignment horizontal="center" vertical="center"/>
    </xf>
    <xf numFmtId="4" fontId="11" fillId="0" borderId="39" xfId="1" applyNumberFormat="1" applyFont="1" applyBorder="1" applyAlignment="1">
      <alignment horizontal="center" vertical="center"/>
    </xf>
    <xf numFmtId="4" fontId="11" fillId="0" borderId="109" xfId="1" applyNumberFormat="1" applyFont="1" applyBorder="1" applyAlignment="1">
      <alignment horizontal="center" vertical="center"/>
    </xf>
    <xf numFmtId="4" fontId="11" fillId="0" borderId="40" xfId="1" applyNumberFormat="1" applyFont="1" applyBorder="1" applyAlignment="1">
      <alignment horizontal="center" vertical="center"/>
    </xf>
    <xf numFmtId="4" fontId="11" fillId="0" borderId="110" xfId="1" applyNumberFormat="1" applyFont="1" applyBorder="1" applyAlignment="1">
      <alignment horizontal="center" vertical="center"/>
    </xf>
    <xf numFmtId="10" fontId="12" fillId="0" borderId="111" xfId="2" applyNumberFormat="1" applyFont="1" applyBorder="1" applyAlignment="1" applyProtection="1">
      <alignment horizontal="center" vertical="center"/>
    </xf>
    <xf numFmtId="10" fontId="12" fillId="0" borderId="12" xfId="2" applyNumberFormat="1" applyFont="1" applyBorder="1" applyAlignment="1" applyProtection="1">
      <alignment horizontal="center" vertical="center"/>
    </xf>
    <xf numFmtId="4" fontId="11" fillId="0" borderId="112" xfId="1" applyNumberFormat="1" applyFont="1" applyBorder="1" applyAlignment="1">
      <alignment horizontal="center" vertical="center"/>
    </xf>
    <xf numFmtId="4" fontId="11" fillId="0" borderId="113" xfId="1" applyNumberFormat="1" applyFont="1" applyBorder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7" fillId="2" borderId="4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4" fontId="8" fillId="2" borderId="2" xfId="1" applyNumberFormat="1" applyFont="1" applyFill="1" applyBorder="1" applyAlignment="1">
      <alignment horizontal="center" vertical="center" wrapText="1"/>
    </xf>
    <xf numFmtId="4" fontId="8" fillId="2" borderId="5" xfId="1" applyNumberFormat="1" applyFont="1" applyFill="1" applyBorder="1" applyAlignment="1">
      <alignment horizontal="center" vertical="center" wrapText="1"/>
    </xf>
    <xf numFmtId="0" fontId="35" fillId="3" borderId="2" xfId="1" applyFont="1" applyFill="1" applyBorder="1" applyAlignment="1">
      <alignment horizontal="center" vertical="center" wrapText="1"/>
    </xf>
    <xf numFmtId="0" fontId="35" fillId="3" borderId="38" xfId="1" applyFont="1" applyFill="1" applyBorder="1" applyAlignment="1">
      <alignment horizontal="center" vertical="center" wrapText="1"/>
    </xf>
    <xf numFmtId="0" fontId="35" fillId="3" borderId="3" xfId="1" applyFont="1" applyFill="1" applyBorder="1" applyAlignment="1">
      <alignment horizontal="center" vertical="center" wrapText="1"/>
    </xf>
    <xf numFmtId="0" fontId="35" fillId="3" borderId="5" xfId="1" applyFont="1" applyFill="1" applyBorder="1" applyAlignment="1">
      <alignment horizontal="center" vertical="center" wrapText="1"/>
    </xf>
    <xf numFmtId="0" fontId="35" fillId="3" borderId="7" xfId="1" applyFont="1" applyFill="1" applyBorder="1" applyAlignment="1">
      <alignment horizontal="center" vertical="center" wrapText="1"/>
    </xf>
    <xf numFmtId="0" fontId="35" fillId="3" borderId="6" xfId="1" applyFont="1" applyFill="1" applyBorder="1" applyAlignment="1">
      <alignment horizontal="center" vertical="center" wrapText="1"/>
    </xf>
    <xf numFmtId="0" fontId="5" fillId="5" borderId="92" xfId="0" applyFont="1" applyFill="1" applyBorder="1" applyAlignment="1" applyProtection="1">
      <alignment horizontal="center" vertical="center"/>
      <protection locked="0"/>
    </xf>
    <xf numFmtId="0" fontId="5" fillId="5" borderId="93" xfId="0" applyFont="1" applyFill="1" applyBorder="1" applyAlignment="1" applyProtection="1">
      <alignment horizontal="center" vertical="center"/>
      <protection locked="0"/>
    </xf>
    <xf numFmtId="0" fontId="5" fillId="5" borderId="92" xfId="0" applyFont="1" applyFill="1" applyBorder="1" applyAlignment="1" applyProtection="1">
      <alignment horizontal="center" vertical="center" wrapText="1"/>
      <protection locked="0"/>
    </xf>
    <xf numFmtId="0" fontId="5" fillId="5" borderId="93" xfId="0" applyFont="1" applyFill="1" applyBorder="1" applyAlignment="1" applyProtection="1">
      <alignment horizontal="center" vertical="center" wrapText="1"/>
      <protection locked="0"/>
    </xf>
    <xf numFmtId="0" fontId="5" fillId="5" borderId="47" xfId="0" applyFont="1" applyFill="1" applyBorder="1" applyAlignment="1" applyProtection="1">
      <alignment horizontal="center" vertical="center" wrapText="1"/>
      <protection locked="0"/>
    </xf>
    <xf numFmtId="0" fontId="5" fillId="5" borderId="94" xfId="0" applyFont="1" applyFill="1" applyBorder="1" applyAlignment="1" applyProtection="1">
      <alignment horizontal="center" vertical="center" wrapText="1"/>
      <protection locked="0"/>
    </xf>
    <xf numFmtId="0" fontId="5" fillId="5" borderId="44" xfId="0" applyFont="1" applyFill="1" applyBorder="1" applyAlignment="1">
      <alignment horizontal="center" wrapText="1"/>
    </xf>
    <xf numFmtId="0" fontId="5" fillId="5" borderId="45" xfId="0" applyFont="1" applyFill="1" applyBorder="1" applyAlignment="1">
      <alignment horizontal="center" wrapText="1"/>
    </xf>
    <xf numFmtId="0" fontId="5" fillId="5" borderId="46" xfId="0" applyFont="1" applyFill="1" applyBorder="1" applyAlignment="1">
      <alignment horizontal="center" wrapText="1"/>
    </xf>
    <xf numFmtId="0" fontId="5" fillId="5" borderId="41" xfId="0" applyFont="1" applyFill="1" applyBorder="1" applyAlignment="1">
      <alignment horizontal="center" vertical="center"/>
    </xf>
    <xf numFmtId="0" fontId="5" fillId="5" borderId="42" xfId="0" applyFont="1" applyFill="1" applyBorder="1" applyAlignment="1">
      <alignment horizontal="center" vertical="center"/>
    </xf>
    <xf numFmtId="0" fontId="5" fillId="5" borderId="43" xfId="0" applyFont="1" applyFill="1" applyBorder="1" applyAlignment="1">
      <alignment horizontal="center" vertical="center"/>
    </xf>
    <xf numFmtId="0" fontId="23" fillId="5" borderId="13" xfId="10" applyFont="1" applyFill="1" applyBorder="1" applyAlignment="1">
      <alignment horizontal="center" vertical="center"/>
    </xf>
    <xf numFmtId="0" fontId="23" fillId="5" borderId="16" xfId="10" applyFont="1" applyFill="1" applyBorder="1" applyAlignment="1">
      <alignment horizontal="center" vertical="center"/>
    </xf>
    <xf numFmtId="0" fontId="23" fillId="5" borderId="14" xfId="10" applyFont="1" applyFill="1" applyBorder="1" applyAlignment="1">
      <alignment horizontal="center" vertical="center"/>
    </xf>
    <xf numFmtId="0" fontId="23" fillId="5" borderId="17" xfId="10" applyFont="1" applyFill="1" applyBorder="1" applyAlignment="1">
      <alignment horizontal="center" vertical="center"/>
    </xf>
    <xf numFmtId="0" fontId="23" fillId="5" borderId="14" xfId="10" applyFont="1" applyFill="1" applyBorder="1" applyAlignment="1">
      <alignment horizontal="center" vertical="center" wrapText="1"/>
    </xf>
    <xf numFmtId="0" fontId="23" fillId="5" borderId="17" xfId="10" applyFont="1" applyFill="1" applyBorder="1" applyAlignment="1">
      <alignment horizontal="center" vertical="center" wrapText="1"/>
    </xf>
    <xf numFmtId="0" fontId="5" fillId="5" borderId="101" xfId="0" applyFont="1" applyFill="1" applyBorder="1" applyAlignment="1">
      <alignment horizontal="center" vertical="center"/>
    </xf>
    <xf numFmtId="0" fontId="5" fillId="5" borderId="102" xfId="0" applyFont="1" applyFill="1" applyBorder="1" applyAlignment="1">
      <alignment horizontal="center" vertical="center"/>
    </xf>
    <xf numFmtId="0" fontId="52" fillId="0" borderId="85" xfId="0" applyFont="1" applyBorder="1" applyAlignment="1">
      <alignment horizontal="center" vertical="center"/>
    </xf>
    <xf numFmtId="0" fontId="19" fillId="4" borderId="65" xfId="0" applyFont="1" applyFill="1" applyBorder="1" applyAlignment="1">
      <alignment horizontal="center" vertical="center" wrapText="1"/>
    </xf>
    <xf numFmtId="0" fontId="19" fillId="4" borderId="5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49" fillId="10" borderId="0" xfId="0" applyFont="1" applyFill="1" applyAlignment="1">
      <alignment horizontal="center"/>
    </xf>
    <xf numFmtId="0" fontId="49" fillId="10" borderId="0" xfId="0" applyFont="1" applyFill="1" applyAlignment="1">
      <alignment horizontal="right"/>
    </xf>
    <xf numFmtId="0" fontId="44" fillId="0" borderId="61" xfId="0" applyFont="1" applyBorder="1" applyAlignment="1">
      <alignment horizontal="left" vertical="center"/>
    </xf>
    <xf numFmtId="0" fontId="44" fillId="0" borderId="62" xfId="0" applyFont="1" applyBorder="1" applyAlignment="1">
      <alignment horizontal="left" vertical="center"/>
    </xf>
    <xf numFmtId="0" fontId="27" fillId="0" borderId="69" xfId="0" applyFont="1" applyBorder="1" applyAlignment="1">
      <alignment horizontal="left" vertical="center"/>
    </xf>
    <xf numFmtId="0" fontId="52" fillId="0" borderId="74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5" fillId="5" borderId="52" xfId="0" applyFont="1" applyFill="1" applyBorder="1" applyAlignment="1">
      <alignment horizontal="center"/>
    </xf>
    <xf numFmtId="0" fontId="5" fillId="5" borderId="54" xfId="0" applyFont="1" applyFill="1" applyBorder="1" applyAlignment="1">
      <alignment horizontal="center"/>
    </xf>
    <xf numFmtId="0" fontId="5" fillId="5" borderId="53" xfId="0" applyFont="1" applyFill="1" applyBorder="1" applyAlignment="1">
      <alignment horizontal="center"/>
    </xf>
    <xf numFmtId="0" fontId="27" fillId="0" borderId="68" xfId="0" applyFont="1" applyBorder="1" applyAlignment="1">
      <alignment horizontal="left" vertical="center"/>
    </xf>
    <xf numFmtId="0" fontId="44" fillId="0" borderId="82" xfId="0" applyFont="1" applyBorder="1" applyAlignment="1">
      <alignment horizontal="left" vertical="center"/>
    </xf>
    <xf numFmtId="4" fontId="19" fillId="4" borderId="88" xfId="0" applyNumberFormat="1" applyFont="1" applyFill="1" applyBorder="1" applyAlignment="1">
      <alignment horizontal="center" vertical="center"/>
    </xf>
    <xf numFmtId="4" fontId="19" fillId="4" borderId="15" xfId="0" applyNumberFormat="1" applyFont="1" applyFill="1" applyBorder="1" applyAlignment="1">
      <alignment horizontal="center" vertical="center"/>
    </xf>
    <xf numFmtId="4" fontId="19" fillId="4" borderId="60" xfId="0" applyNumberFormat="1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justify" vertical="center" wrapText="1"/>
    </xf>
    <xf numFmtId="4" fontId="38" fillId="0" borderId="5" xfId="0" applyNumberFormat="1" applyFont="1" applyFill="1" applyBorder="1" applyAlignment="1">
      <alignment horizontal="center" vertical="center" wrapText="1"/>
    </xf>
    <xf numFmtId="4" fontId="46" fillId="0" borderId="5" xfId="0" applyNumberFormat="1" applyFont="1" applyFill="1" applyBorder="1" applyAlignment="1">
      <alignment horizontal="center" vertical="center" wrapText="1"/>
    </xf>
    <xf numFmtId="4" fontId="46" fillId="0" borderId="5" xfId="0" applyNumberFormat="1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165" fontId="46" fillId="0" borderId="5" xfId="0" applyNumberFormat="1" applyFont="1" applyFill="1" applyBorder="1" applyAlignment="1">
      <alignment horizontal="center" vertical="center"/>
    </xf>
    <xf numFmtId="0" fontId="46" fillId="0" borderId="7" xfId="8" applyNumberFormat="1" applyFont="1" applyFill="1" applyBorder="1" applyAlignment="1">
      <alignment horizontal="center" vertical="center"/>
    </xf>
    <xf numFmtId="10" fontId="46" fillId="0" borderId="137" xfId="14" applyNumberFormat="1" applyFont="1" applyFill="1" applyBorder="1" applyAlignment="1">
      <alignment horizontal="center" vertical="center"/>
    </xf>
    <xf numFmtId="166" fontId="46" fillId="0" borderId="5" xfId="0" applyNumberFormat="1" applyFont="1" applyFill="1" applyBorder="1" applyAlignment="1">
      <alignment horizontal="center" vertical="center"/>
    </xf>
    <xf numFmtId="0" fontId="46" fillId="0" borderId="86" xfId="0" applyFont="1" applyFill="1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36" fillId="6" borderId="5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justify" vertical="center" wrapText="1"/>
    </xf>
    <xf numFmtId="4" fontId="36" fillId="6" borderId="5" xfId="0" applyNumberFormat="1" applyFont="1" applyFill="1" applyBorder="1" applyAlignment="1">
      <alignment horizontal="center" vertical="center" wrapText="1"/>
    </xf>
    <xf numFmtId="4" fontId="24" fillId="6" borderId="5" xfId="0" applyNumberFormat="1" applyFont="1" applyFill="1" applyBorder="1" applyAlignment="1">
      <alignment horizontal="center" vertical="center" wrapText="1"/>
    </xf>
    <xf numFmtId="4" fontId="24" fillId="6" borderId="5" xfId="0" applyNumberFormat="1" applyFont="1" applyFill="1" applyBorder="1" applyAlignment="1">
      <alignment horizontal="center" vertical="center"/>
    </xf>
  </cellXfs>
  <cellStyles count="24">
    <cellStyle name="Estilo 1" xfId="23"/>
    <cellStyle name="Hiperlink" xfId="12" builtinId="8"/>
    <cellStyle name="Moeda" xfId="9" builtinId="4"/>
    <cellStyle name="Moeda 2" xfId="5"/>
    <cellStyle name="Moeda 2 2" xfId="22"/>
    <cellStyle name="Moeda 3" xfId="17"/>
    <cellStyle name="Moeda 8" xfId="21"/>
    <cellStyle name="Normal" xfId="0" builtinId="0"/>
    <cellStyle name="Normal 10 2" xfId="16"/>
    <cellStyle name="Normal 2" xfId="18"/>
    <cellStyle name="Normal 2 10" xfId="15"/>
    <cellStyle name="Normal 2 2" xfId="11"/>
    <cellStyle name="Normal 25" xfId="19"/>
    <cellStyle name="Normal 3" xfId="7"/>
    <cellStyle name="Normal 3 4 3" xfId="10"/>
    <cellStyle name="Normal 4" xfId="1"/>
    <cellStyle name="Normal 6 2" xfId="13"/>
    <cellStyle name="Porcentagem" xfId="14" builtinId="5"/>
    <cellStyle name="Porcentagem 2" xfId="2"/>
    <cellStyle name="Porcentagem 3" xfId="3"/>
    <cellStyle name="Vírgula" xfId="8" builtinId="3"/>
    <cellStyle name="Vírgula 2" xfId="4"/>
    <cellStyle name="Vírgula 3" xfId="6"/>
    <cellStyle name="Vírgula 7" xfId="20"/>
  </cellStyles>
  <dxfs count="303"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6" formatCode="0.0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vertical="center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vertical="center" textRotation="0" indent="0" justifyLastLine="0" shrinkToFit="0" readingOrder="0"/>
    </dxf>
    <dxf>
      <border>
        <bottom style="thin">
          <color rgb="FF000000"/>
        </bottom>
      </border>
    </dxf>
    <dxf>
      <font>
        <b/>
      </font>
      <fill>
        <patternFill>
          <fgColor indexed="64"/>
          <bgColor theme="0" tint="-0.1499984740745262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</font>
      <fill>
        <patternFill patternType="solid">
          <fgColor indexed="64"/>
          <bgColor theme="2" tint="-9.9978637043366805E-2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FFCC99"/>
      <color rgb="FFFECBCA"/>
      <color rgb="FFCCCC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91488</xdr:colOff>
      <xdr:row>136</xdr:row>
      <xdr:rowOff>115020</xdr:rowOff>
    </xdr:from>
    <xdr:ext cx="1441556" cy="305188"/>
    <xdr:pic>
      <xdr:nvPicPr>
        <xdr:cNvPr id="2" name="Imagem 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88" y="24934449"/>
          <a:ext cx="1476375" cy="3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393700</xdr:colOff>
      <xdr:row>8</xdr:row>
      <xdr:rowOff>138792</xdr:rowOff>
    </xdr:from>
    <xdr:to>
      <xdr:col>7</xdr:col>
      <xdr:colOff>21771</xdr:colOff>
      <xdr:row>34</xdr:row>
      <xdr:rowOff>91167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/>
      </xdr:nvSpPr>
      <xdr:spPr>
        <a:xfrm>
          <a:off x="2374900" y="1357992"/>
          <a:ext cx="7781471" cy="3914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4800">
              <a:solidFill>
                <a:srgbClr val="21409A"/>
              </a:solidFill>
            </a:rPr>
            <a:t>TABELA</a:t>
          </a:r>
          <a:r>
            <a:rPr lang="pt-BR" sz="4800" baseline="0">
              <a:solidFill>
                <a:srgbClr val="21409A"/>
              </a:solidFill>
            </a:rPr>
            <a:t> DE CUSTOS UNITÁRIOS PARA OBRAS E SERVIÇOS DE ENGENHARIA                                                                                                                        </a:t>
          </a:r>
          <a:r>
            <a:rPr lang="pt-BR" sz="6000" b="1" baseline="0">
              <a:solidFill>
                <a:srgbClr val="21409A"/>
              </a:solidFill>
            </a:rPr>
            <a:t>2024.2</a:t>
          </a:r>
          <a:r>
            <a:rPr lang="pt-BR" sz="4800" baseline="0">
              <a:solidFill>
                <a:srgbClr val="21409A"/>
              </a:solidFill>
            </a:rPr>
            <a:t> </a:t>
          </a:r>
          <a:endParaRPr lang="pt-BR" sz="4800">
            <a:solidFill>
              <a:srgbClr val="21409A"/>
            </a:solidFill>
          </a:endParaRPr>
        </a:p>
      </xdr:txBody>
    </xdr:sp>
    <xdr:clientData/>
  </xdr:twoCellAnchor>
  <xdr:oneCellAnchor>
    <xdr:from>
      <xdr:col>2</xdr:col>
      <xdr:colOff>686232</xdr:colOff>
      <xdr:row>33</xdr:row>
      <xdr:rowOff>-1</xdr:rowOff>
    </xdr:from>
    <xdr:ext cx="11964018" cy="14104044"/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61"/>
        <a:stretch/>
      </xdr:blipFill>
      <xdr:spPr>
        <a:xfrm>
          <a:off x="2686482" y="5500687"/>
          <a:ext cx="11964018" cy="1410404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1</xdr:col>
      <xdr:colOff>545400</xdr:colOff>
      <xdr:row>3</xdr:row>
      <xdr:rowOff>19050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3677" t="48154" r="58829" b="34959"/>
        <a:stretch/>
      </xdr:blipFill>
      <xdr:spPr>
        <a:xfrm>
          <a:off x="209550" y="142875"/>
          <a:ext cx="945450" cy="5429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5" name="TIPO_DE_MATERIAL" displayName="TIPO_DE_MATERIAL" ref="L1:M34" totalsRowShown="0" headerRowDxfId="302" headerRowBorderDxfId="301" tableBorderDxfId="300" totalsRowBorderDxfId="299">
  <sortState ref="L2:M33">
    <sortCondition ref="L2:L33"/>
  </sortState>
  <tableColumns count="2">
    <tableColumn id="1" name="TIPO DE MATERIAL" dataDxfId="298"/>
    <tableColumn id="2" name="SIGLA" dataDxfId="29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ESTADOS" displayName="ESTADOS" ref="P1:U33" totalsRowShown="0" headerRowDxfId="296" dataDxfId="294" headerRowBorderDxfId="295" tableBorderDxfId="293" totalsRowBorderDxfId="292">
  <autoFilter ref="P1:U33"/>
  <tableColumns count="6">
    <tableColumn id="1" name="Sigla" dataDxfId="291"/>
    <tableColumn id="6" name="REGIÃO" dataDxfId="290"/>
    <tableColumn id="2" name="Estado" dataDxfId="289"/>
    <tableColumn id="3" name="DMT REFINARIA - RECIFE" dataDxfId="288"/>
    <tableColumn id="4" name="REFINARIA CONSIDERADA" dataDxfId="287"/>
    <tableColumn id="5" name="LINK" dataDxfId="28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" name="Índices" displayName="Índices" ref="A2:I12" totalsRowShown="0" headerRowDxfId="285" dataDxfId="283" headerRowBorderDxfId="284" tableBorderDxfId="282" totalsRowBorderDxfId="281">
  <autoFilter ref="A2:I12"/>
  <tableColumns count="9">
    <tableColumn id="1" name="CÓDIGO DO ÍNDICE" dataDxfId="280">
      <calculatedColumnFormula>IF(ROW(3:3)-ROW($2:$2) &lt; 10, "I"&amp;"00"&amp;ROW(3:3)-ROW($2:$2),IF(ROW(3:3)-ROW($2:$2) &lt; 100, "I"&amp;"0"&amp;ROW(3:3)-ROW($2:$2), "I"&amp;ROW(3:3)-ROW($2:$2)))</calculatedColumnFormula>
    </tableColumn>
    <tableColumn id="2" name="DESCRIÇÃO" dataDxfId="279"/>
    <tableColumn id="9" name="SIGLA" dataDxfId="278"/>
    <tableColumn id="3" name="REFERÊNCIA" dataDxfId="277"/>
    <tableColumn id="10" name="DATA-BASE DO ORÇAMENTO" dataDxfId="276"/>
    <tableColumn id="11" name="VALOR DA CESTA NO ORÇAMENTO" dataDxfId="275"/>
    <tableColumn id="4" name="DATA-BASE DA COTAÇÃO" dataDxfId="274"/>
    <tableColumn id="5" name="VALOR DA CESTA NA COTAÇÃO" dataDxfId="273"/>
    <tableColumn id="8" name="COEFICIENTE DE RETROAÇÃO" dataDxfId="272">
      <calculatedColumnFormula>IF(OR(Índices[[#This Row],[VALOR DA CESTA NO ORÇAMENTO]] = "", Índices[[#This Row],[VALOR DA CESTA NA COTAÇÃO]] = ""), "", IFERROR(Índices[[#This Row],[VALOR DA CESTA NO ORÇAMENTO]]/Índices[[#This Row],[VALOR DA CESTA NA COTAÇÃO]],0))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aps.app.goo.gl/G8Z79eTCZfgMShC2A" TargetMode="External"/><Relationship Id="rId13" Type="http://schemas.openxmlformats.org/officeDocument/2006/relationships/table" Target="../tables/table1.xml"/><Relationship Id="rId3" Type="http://schemas.openxmlformats.org/officeDocument/2006/relationships/hyperlink" Target="https://maps.app.goo.gl/1jPs8gabDxbVnZhn9" TargetMode="External"/><Relationship Id="rId7" Type="http://schemas.openxmlformats.org/officeDocument/2006/relationships/hyperlink" Target="https://maps.app.goo.gl/8wZ8JQ9uYNK4qFKu9" TargetMode="External"/><Relationship Id="rId12" Type="http://schemas.openxmlformats.org/officeDocument/2006/relationships/hyperlink" Target="https://maps.app.goo.gl/Q9cPNaCj413hPHaf7" TargetMode="External"/><Relationship Id="rId2" Type="http://schemas.openxmlformats.org/officeDocument/2006/relationships/hyperlink" Target="https://maps.app.goo.gl/7VkLNuCsDnTdfE6f8" TargetMode="External"/><Relationship Id="rId1" Type="http://schemas.openxmlformats.org/officeDocument/2006/relationships/hyperlink" Target="https://maps.app.goo.gl/vDoCHiKxvdFewrcu6" TargetMode="External"/><Relationship Id="rId6" Type="http://schemas.openxmlformats.org/officeDocument/2006/relationships/hyperlink" Target="https://maps.app.goo.gl/S45KiUfyaGoAcRsb7" TargetMode="External"/><Relationship Id="rId11" Type="http://schemas.openxmlformats.org/officeDocument/2006/relationships/hyperlink" Target="https://maps.app.goo.gl/R5UrP9tH92oF7nn86" TargetMode="External"/><Relationship Id="rId5" Type="http://schemas.openxmlformats.org/officeDocument/2006/relationships/hyperlink" Target="https://maps.app.goo.gl/p8gkMjisYbdRWPNX7" TargetMode="External"/><Relationship Id="rId10" Type="http://schemas.openxmlformats.org/officeDocument/2006/relationships/hyperlink" Target="https://maps.app.goo.gl/V4VK4sr77BREArLQ6" TargetMode="External"/><Relationship Id="rId4" Type="http://schemas.openxmlformats.org/officeDocument/2006/relationships/hyperlink" Target="https://maps.app.goo.gl/qQJ3VdyrcUsRZBiY8" TargetMode="External"/><Relationship Id="rId9" Type="http://schemas.openxmlformats.org/officeDocument/2006/relationships/hyperlink" Target="https://maps.app.goo.gl/6YqWtQUFoT2icok69" TargetMode="External"/><Relationship Id="rId1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FFCC99"/>
  </sheetPr>
  <dimension ref="A1:L938"/>
  <sheetViews>
    <sheetView showGridLines="0" tabSelected="1" view="pageBreakPreview" zoomScale="70" zoomScaleNormal="70" zoomScaleSheetLayoutView="70" workbookViewId="0">
      <selection activeCell="Q125" sqref="Q125"/>
    </sheetView>
  </sheetViews>
  <sheetFormatPr defaultRowHeight="15" x14ac:dyDescent="0.25"/>
  <cols>
    <col min="1" max="1" width="17.5703125" style="11" customWidth="1"/>
    <col min="2" max="2" width="13.85546875" style="11" bestFit="1" customWidth="1"/>
    <col min="3" max="3" width="17.42578125" style="11" customWidth="1"/>
    <col min="4" max="4" width="23.85546875" style="11" bestFit="1" customWidth="1"/>
    <col min="5" max="5" width="98.7109375" style="12" customWidth="1"/>
    <col min="6" max="6" width="22" style="1" customWidth="1"/>
    <col min="7" max="7" width="14.42578125" style="33" bestFit="1" customWidth="1"/>
    <col min="8" max="8" width="12.5703125" style="13" customWidth="1"/>
    <col min="9" max="9" width="12.7109375" style="13" bestFit="1" customWidth="1"/>
    <col min="10" max="10" width="13.7109375" style="13" bestFit="1" customWidth="1"/>
    <col min="11" max="11" width="29.42578125" style="33" bestFit="1" customWidth="1"/>
    <col min="12" max="12" width="9.140625" style="276"/>
    <col min="13" max="172" width="9.140625" style="1"/>
    <col min="173" max="175" width="18.42578125" style="1" customWidth="1"/>
    <col min="176" max="176" width="80.85546875" style="1" customWidth="1"/>
    <col min="177" max="177" width="15.140625" style="1" customWidth="1"/>
    <col min="178" max="178" width="11.28515625" style="1" bestFit="1" customWidth="1"/>
    <col min="179" max="179" width="14.7109375" style="1" customWidth="1"/>
    <col min="180" max="182" width="12.85546875" style="1" customWidth="1"/>
    <col min="183" max="428" width="9.140625" style="1"/>
    <col min="429" max="431" width="18.42578125" style="1" customWidth="1"/>
    <col min="432" max="432" width="80.85546875" style="1" customWidth="1"/>
    <col min="433" max="433" width="15.140625" style="1" customWidth="1"/>
    <col min="434" max="434" width="11.28515625" style="1" bestFit="1" customWidth="1"/>
    <col min="435" max="435" width="14.7109375" style="1" customWidth="1"/>
    <col min="436" max="438" width="12.85546875" style="1" customWidth="1"/>
    <col min="439" max="684" width="9.140625" style="1"/>
    <col min="685" max="687" width="18.42578125" style="1" customWidth="1"/>
    <col min="688" max="688" width="80.85546875" style="1" customWidth="1"/>
    <col min="689" max="689" width="15.140625" style="1" customWidth="1"/>
    <col min="690" max="690" width="11.28515625" style="1" bestFit="1" customWidth="1"/>
    <col min="691" max="691" width="14.7109375" style="1" customWidth="1"/>
    <col min="692" max="694" width="12.85546875" style="1" customWidth="1"/>
    <col min="695" max="940" width="9.140625" style="1"/>
    <col min="941" max="943" width="18.42578125" style="1" customWidth="1"/>
    <col min="944" max="944" width="80.85546875" style="1" customWidth="1"/>
    <col min="945" max="945" width="15.140625" style="1" customWidth="1"/>
    <col min="946" max="946" width="11.28515625" style="1" bestFit="1" customWidth="1"/>
    <col min="947" max="947" width="14.7109375" style="1" customWidth="1"/>
    <col min="948" max="950" width="12.85546875" style="1" customWidth="1"/>
    <col min="951" max="1196" width="9.140625" style="1"/>
    <col min="1197" max="1199" width="18.42578125" style="1" customWidth="1"/>
    <col min="1200" max="1200" width="80.85546875" style="1" customWidth="1"/>
    <col min="1201" max="1201" width="15.140625" style="1" customWidth="1"/>
    <col min="1202" max="1202" width="11.28515625" style="1" bestFit="1" customWidth="1"/>
    <col min="1203" max="1203" width="14.7109375" style="1" customWidth="1"/>
    <col min="1204" max="1206" width="12.85546875" style="1" customWidth="1"/>
    <col min="1207" max="1452" width="9.140625" style="1"/>
    <col min="1453" max="1455" width="18.42578125" style="1" customWidth="1"/>
    <col min="1456" max="1456" width="80.85546875" style="1" customWidth="1"/>
    <col min="1457" max="1457" width="15.140625" style="1" customWidth="1"/>
    <col min="1458" max="1458" width="11.28515625" style="1" bestFit="1" customWidth="1"/>
    <col min="1459" max="1459" width="14.7109375" style="1" customWidth="1"/>
    <col min="1460" max="1462" width="12.85546875" style="1" customWidth="1"/>
    <col min="1463" max="1708" width="9.140625" style="1"/>
    <col min="1709" max="1711" width="18.42578125" style="1" customWidth="1"/>
    <col min="1712" max="1712" width="80.85546875" style="1" customWidth="1"/>
    <col min="1713" max="1713" width="15.140625" style="1" customWidth="1"/>
    <col min="1714" max="1714" width="11.28515625" style="1" bestFit="1" customWidth="1"/>
    <col min="1715" max="1715" width="14.7109375" style="1" customWidth="1"/>
    <col min="1716" max="1718" width="12.85546875" style="1" customWidth="1"/>
    <col min="1719" max="1964" width="9.140625" style="1"/>
    <col min="1965" max="1967" width="18.42578125" style="1" customWidth="1"/>
    <col min="1968" max="1968" width="80.85546875" style="1" customWidth="1"/>
    <col min="1969" max="1969" width="15.140625" style="1" customWidth="1"/>
    <col min="1970" max="1970" width="11.28515625" style="1" bestFit="1" customWidth="1"/>
    <col min="1971" max="1971" width="14.7109375" style="1" customWidth="1"/>
    <col min="1972" max="1974" width="12.85546875" style="1" customWidth="1"/>
    <col min="1975" max="2220" width="9.140625" style="1"/>
    <col min="2221" max="2223" width="18.42578125" style="1" customWidth="1"/>
    <col min="2224" max="2224" width="80.85546875" style="1" customWidth="1"/>
    <col min="2225" max="2225" width="15.140625" style="1" customWidth="1"/>
    <col min="2226" max="2226" width="11.28515625" style="1" bestFit="1" customWidth="1"/>
    <col min="2227" max="2227" width="14.7109375" style="1" customWidth="1"/>
    <col min="2228" max="2230" width="12.85546875" style="1" customWidth="1"/>
    <col min="2231" max="2476" width="9.140625" style="1"/>
    <col min="2477" max="2479" width="18.42578125" style="1" customWidth="1"/>
    <col min="2480" max="2480" width="80.85546875" style="1" customWidth="1"/>
    <col min="2481" max="2481" width="15.140625" style="1" customWidth="1"/>
    <col min="2482" max="2482" width="11.28515625" style="1" bestFit="1" customWidth="1"/>
    <col min="2483" max="2483" width="14.7109375" style="1" customWidth="1"/>
    <col min="2484" max="2486" width="12.85546875" style="1" customWidth="1"/>
    <col min="2487" max="2732" width="9.140625" style="1"/>
    <col min="2733" max="2735" width="18.42578125" style="1" customWidth="1"/>
    <col min="2736" max="2736" width="80.85546875" style="1" customWidth="1"/>
    <col min="2737" max="2737" width="15.140625" style="1" customWidth="1"/>
    <col min="2738" max="2738" width="11.28515625" style="1" bestFit="1" customWidth="1"/>
    <col min="2739" max="2739" width="14.7109375" style="1" customWidth="1"/>
    <col min="2740" max="2742" width="12.85546875" style="1" customWidth="1"/>
    <col min="2743" max="2988" width="9.140625" style="1"/>
    <col min="2989" max="2991" width="18.42578125" style="1" customWidth="1"/>
    <col min="2992" max="2992" width="80.85546875" style="1" customWidth="1"/>
    <col min="2993" max="2993" width="15.140625" style="1" customWidth="1"/>
    <col min="2994" max="2994" width="11.28515625" style="1" bestFit="1" customWidth="1"/>
    <col min="2995" max="2995" width="14.7109375" style="1" customWidth="1"/>
    <col min="2996" max="2998" width="12.85546875" style="1" customWidth="1"/>
    <col min="2999" max="3244" width="9.140625" style="1"/>
    <col min="3245" max="3247" width="18.42578125" style="1" customWidth="1"/>
    <col min="3248" max="3248" width="80.85546875" style="1" customWidth="1"/>
    <col min="3249" max="3249" width="15.140625" style="1" customWidth="1"/>
    <col min="3250" max="3250" width="11.28515625" style="1" bestFit="1" customWidth="1"/>
    <col min="3251" max="3251" width="14.7109375" style="1" customWidth="1"/>
    <col min="3252" max="3254" width="12.85546875" style="1" customWidth="1"/>
    <col min="3255" max="3500" width="9.140625" style="1"/>
    <col min="3501" max="3503" width="18.42578125" style="1" customWidth="1"/>
    <col min="3504" max="3504" width="80.85546875" style="1" customWidth="1"/>
    <col min="3505" max="3505" width="15.140625" style="1" customWidth="1"/>
    <col min="3506" max="3506" width="11.28515625" style="1" bestFit="1" customWidth="1"/>
    <col min="3507" max="3507" width="14.7109375" style="1" customWidth="1"/>
    <col min="3508" max="3510" width="12.85546875" style="1" customWidth="1"/>
    <col min="3511" max="3756" width="9.140625" style="1"/>
    <col min="3757" max="3759" width="18.42578125" style="1" customWidth="1"/>
    <col min="3760" max="3760" width="80.85546875" style="1" customWidth="1"/>
    <col min="3761" max="3761" width="15.140625" style="1" customWidth="1"/>
    <col min="3762" max="3762" width="11.28515625" style="1" bestFit="1" customWidth="1"/>
    <col min="3763" max="3763" width="14.7109375" style="1" customWidth="1"/>
    <col min="3764" max="3766" width="12.85546875" style="1" customWidth="1"/>
    <col min="3767" max="4012" width="9.140625" style="1"/>
    <col min="4013" max="4015" width="18.42578125" style="1" customWidth="1"/>
    <col min="4016" max="4016" width="80.85546875" style="1" customWidth="1"/>
    <col min="4017" max="4017" width="15.140625" style="1" customWidth="1"/>
    <col min="4018" max="4018" width="11.28515625" style="1" bestFit="1" customWidth="1"/>
    <col min="4019" max="4019" width="14.7109375" style="1" customWidth="1"/>
    <col min="4020" max="4022" width="12.85546875" style="1" customWidth="1"/>
    <col min="4023" max="4268" width="9.140625" style="1"/>
    <col min="4269" max="4271" width="18.42578125" style="1" customWidth="1"/>
    <col min="4272" max="4272" width="80.85546875" style="1" customWidth="1"/>
    <col min="4273" max="4273" width="15.140625" style="1" customWidth="1"/>
    <col min="4274" max="4274" width="11.28515625" style="1" bestFit="1" customWidth="1"/>
    <col min="4275" max="4275" width="14.7109375" style="1" customWidth="1"/>
    <col min="4276" max="4278" width="12.85546875" style="1" customWidth="1"/>
    <col min="4279" max="4524" width="9.140625" style="1"/>
    <col min="4525" max="4527" width="18.42578125" style="1" customWidth="1"/>
    <col min="4528" max="4528" width="80.85546875" style="1" customWidth="1"/>
    <col min="4529" max="4529" width="15.140625" style="1" customWidth="1"/>
    <col min="4530" max="4530" width="11.28515625" style="1" bestFit="1" customWidth="1"/>
    <col min="4531" max="4531" width="14.7109375" style="1" customWidth="1"/>
    <col min="4532" max="4534" width="12.85546875" style="1" customWidth="1"/>
    <col min="4535" max="4780" width="9.140625" style="1"/>
    <col min="4781" max="4783" width="18.42578125" style="1" customWidth="1"/>
    <col min="4784" max="4784" width="80.85546875" style="1" customWidth="1"/>
    <col min="4785" max="4785" width="15.140625" style="1" customWidth="1"/>
    <col min="4786" max="4786" width="11.28515625" style="1" bestFit="1" customWidth="1"/>
    <col min="4787" max="4787" width="14.7109375" style="1" customWidth="1"/>
    <col min="4788" max="4790" width="12.85546875" style="1" customWidth="1"/>
    <col min="4791" max="5036" width="9.140625" style="1"/>
    <col min="5037" max="5039" width="18.42578125" style="1" customWidth="1"/>
    <col min="5040" max="5040" width="80.85546875" style="1" customWidth="1"/>
    <col min="5041" max="5041" width="15.140625" style="1" customWidth="1"/>
    <col min="5042" max="5042" width="11.28515625" style="1" bestFit="1" customWidth="1"/>
    <col min="5043" max="5043" width="14.7109375" style="1" customWidth="1"/>
    <col min="5044" max="5046" width="12.85546875" style="1" customWidth="1"/>
    <col min="5047" max="5292" width="9.140625" style="1"/>
    <col min="5293" max="5295" width="18.42578125" style="1" customWidth="1"/>
    <col min="5296" max="5296" width="80.85546875" style="1" customWidth="1"/>
    <col min="5297" max="5297" width="15.140625" style="1" customWidth="1"/>
    <col min="5298" max="5298" width="11.28515625" style="1" bestFit="1" customWidth="1"/>
    <col min="5299" max="5299" width="14.7109375" style="1" customWidth="1"/>
    <col min="5300" max="5302" width="12.85546875" style="1" customWidth="1"/>
    <col min="5303" max="5548" width="9.140625" style="1"/>
    <col min="5549" max="5551" width="18.42578125" style="1" customWidth="1"/>
    <col min="5552" max="5552" width="80.85546875" style="1" customWidth="1"/>
    <col min="5553" max="5553" width="15.140625" style="1" customWidth="1"/>
    <col min="5554" max="5554" width="11.28515625" style="1" bestFit="1" customWidth="1"/>
    <col min="5555" max="5555" width="14.7109375" style="1" customWidth="1"/>
    <col min="5556" max="5558" width="12.85546875" style="1" customWidth="1"/>
    <col min="5559" max="5804" width="9.140625" style="1"/>
    <col min="5805" max="5807" width="18.42578125" style="1" customWidth="1"/>
    <col min="5808" max="5808" width="80.85546875" style="1" customWidth="1"/>
    <col min="5809" max="5809" width="15.140625" style="1" customWidth="1"/>
    <col min="5810" max="5810" width="11.28515625" style="1" bestFit="1" customWidth="1"/>
    <col min="5811" max="5811" width="14.7109375" style="1" customWidth="1"/>
    <col min="5812" max="5814" width="12.85546875" style="1" customWidth="1"/>
    <col min="5815" max="6060" width="9.140625" style="1"/>
    <col min="6061" max="6063" width="18.42578125" style="1" customWidth="1"/>
    <col min="6064" max="6064" width="80.85546875" style="1" customWidth="1"/>
    <col min="6065" max="6065" width="15.140625" style="1" customWidth="1"/>
    <col min="6066" max="6066" width="11.28515625" style="1" bestFit="1" customWidth="1"/>
    <col min="6067" max="6067" width="14.7109375" style="1" customWidth="1"/>
    <col min="6068" max="6070" width="12.85546875" style="1" customWidth="1"/>
    <col min="6071" max="6316" width="9.140625" style="1"/>
    <col min="6317" max="6319" width="18.42578125" style="1" customWidth="1"/>
    <col min="6320" max="6320" width="80.85546875" style="1" customWidth="1"/>
    <col min="6321" max="6321" width="15.140625" style="1" customWidth="1"/>
    <col min="6322" max="6322" width="11.28515625" style="1" bestFit="1" customWidth="1"/>
    <col min="6323" max="6323" width="14.7109375" style="1" customWidth="1"/>
    <col min="6324" max="6326" width="12.85546875" style="1" customWidth="1"/>
    <col min="6327" max="6572" width="9.140625" style="1"/>
    <col min="6573" max="6575" width="18.42578125" style="1" customWidth="1"/>
    <col min="6576" max="6576" width="80.85546875" style="1" customWidth="1"/>
    <col min="6577" max="6577" width="15.140625" style="1" customWidth="1"/>
    <col min="6578" max="6578" width="11.28515625" style="1" bestFit="1" customWidth="1"/>
    <col min="6579" max="6579" width="14.7109375" style="1" customWidth="1"/>
    <col min="6580" max="6582" width="12.85546875" style="1" customWidth="1"/>
    <col min="6583" max="6828" width="9.140625" style="1"/>
    <col min="6829" max="6831" width="18.42578125" style="1" customWidth="1"/>
    <col min="6832" max="6832" width="80.85546875" style="1" customWidth="1"/>
    <col min="6833" max="6833" width="15.140625" style="1" customWidth="1"/>
    <col min="6834" max="6834" width="11.28515625" style="1" bestFit="1" customWidth="1"/>
    <col min="6835" max="6835" width="14.7109375" style="1" customWidth="1"/>
    <col min="6836" max="6838" width="12.85546875" style="1" customWidth="1"/>
    <col min="6839" max="7084" width="9.140625" style="1"/>
    <col min="7085" max="7087" width="18.42578125" style="1" customWidth="1"/>
    <col min="7088" max="7088" width="80.85546875" style="1" customWidth="1"/>
    <col min="7089" max="7089" width="15.140625" style="1" customWidth="1"/>
    <col min="7090" max="7090" width="11.28515625" style="1" bestFit="1" customWidth="1"/>
    <col min="7091" max="7091" width="14.7109375" style="1" customWidth="1"/>
    <col min="7092" max="7094" width="12.85546875" style="1" customWidth="1"/>
    <col min="7095" max="7340" width="9.140625" style="1"/>
    <col min="7341" max="7343" width="18.42578125" style="1" customWidth="1"/>
    <col min="7344" max="7344" width="80.85546875" style="1" customWidth="1"/>
    <col min="7345" max="7345" width="15.140625" style="1" customWidth="1"/>
    <col min="7346" max="7346" width="11.28515625" style="1" bestFit="1" customWidth="1"/>
    <col min="7347" max="7347" width="14.7109375" style="1" customWidth="1"/>
    <col min="7348" max="7350" width="12.85546875" style="1" customWidth="1"/>
    <col min="7351" max="7596" width="9.140625" style="1"/>
    <col min="7597" max="7599" width="18.42578125" style="1" customWidth="1"/>
    <col min="7600" max="7600" width="80.85546875" style="1" customWidth="1"/>
    <col min="7601" max="7601" width="15.140625" style="1" customWidth="1"/>
    <col min="7602" max="7602" width="11.28515625" style="1" bestFit="1" customWidth="1"/>
    <col min="7603" max="7603" width="14.7109375" style="1" customWidth="1"/>
    <col min="7604" max="7606" width="12.85546875" style="1" customWidth="1"/>
    <col min="7607" max="7852" width="9.140625" style="1"/>
    <col min="7853" max="7855" width="18.42578125" style="1" customWidth="1"/>
    <col min="7856" max="7856" width="80.85546875" style="1" customWidth="1"/>
    <col min="7857" max="7857" width="15.140625" style="1" customWidth="1"/>
    <col min="7858" max="7858" width="11.28515625" style="1" bestFit="1" customWidth="1"/>
    <col min="7859" max="7859" width="14.7109375" style="1" customWidth="1"/>
    <col min="7860" max="7862" width="12.85546875" style="1" customWidth="1"/>
    <col min="7863" max="8108" width="9.140625" style="1"/>
    <col min="8109" max="8111" width="18.42578125" style="1" customWidth="1"/>
    <col min="8112" max="8112" width="80.85546875" style="1" customWidth="1"/>
    <col min="8113" max="8113" width="15.140625" style="1" customWidth="1"/>
    <col min="8114" max="8114" width="11.28515625" style="1" bestFit="1" customWidth="1"/>
    <col min="8115" max="8115" width="14.7109375" style="1" customWidth="1"/>
    <col min="8116" max="8118" width="12.85546875" style="1" customWidth="1"/>
    <col min="8119" max="8364" width="9.140625" style="1"/>
    <col min="8365" max="8367" width="18.42578125" style="1" customWidth="1"/>
    <col min="8368" max="8368" width="80.85546875" style="1" customWidth="1"/>
    <col min="8369" max="8369" width="15.140625" style="1" customWidth="1"/>
    <col min="8370" max="8370" width="11.28515625" style="1" bestFit="1" customWidth="1"/>
    <col min="8371" max="8371" width="14.7109375" style="1" customWidth="1"/>
    <col min="8372" max="8374" width="12.85546875" style="1" customWidth="1"/>
    <col min="8375" max="8620" width="9.140625" style="1"/>
    <col min="8621" max="8623" width="18.42578125" style="1" customWidth="1"/>
    <col min="8624" max="8624" width="80.85546875" style="1" customWidth="1"/>
    <col min="8625" max="8625" width="15.140625" style="1" customWidth="1"/>
    <col min="8626" max="8626" width="11.28515625" style="1" bestFit="1" customWidth="1"/>
    <col min="8627" max="8627" width="14.7109375" style="1" customWidth="1"/>
    <col min="8628" max="8630" width="12.85546875" style="1" customWidth="1"/>
    <col min="8631" max="8876" width="9.140625" style="1"/>
    <col min="8877" max="8879" width="18.42578125" style="1" customWidth="1"/>
    <col min="8880" max="8880" width="80.85546875" style="1" customWidth="1"/>
    <col min="8881" max="8881" width="15.140625" style="1" customWidth="1"/>
    <col min="8882" max="8882" width="11.28515625" style="1" bestFit="1" customWidth="1"/>
    <col min="8883" max="8883" width="14.7109375" style="1" customWidth="1"/>
    <col min="8884" max="8886" width="12.85546875" style="1" customWidth="1"/>
    <col min="8887" max="9132" width="9.140625" style="1"/>
    <col min="9133" max="9135" width="18.42578125" style="1" customWidth="1"/>
    <col min="9136" max="9136" width="80.85546875" style="1" customWidth="1"/>
    <col min="9137" max="9137" width="15.140625" style="1" customWidth="1"/>
    <col min="9138" max="9138" width="11.28515625" style="1" bestFit="1" customWidth="1"/>
    <col min="9139" max="9139" width="14.7109375" style="1" customWidth="1"/>
    <col min="9140" max="9142" width="12.85546875" style="1" customWidth="1"/>
    <col min="9143" max="9388" width="9.140625" style="1"/>
    <col min="9389" max="9391" width="18.42578125" style="1" customWidth="1"/>
    <col min="9392" max="9392" width="80.85546875" style="1" customWidth="1"/>
    <col min="9393" max="9393" width="15.140625" style="1" customWidth="1"/>
    <col min="9394" max="9394" width="11.28515625" style="1" bestFit="1" customWidth="1"/>
    <col min="9395" max="9395" width="14.7109375" style="1" customWidth="1"/>
    <col min="9396" max="9398" width="12.85546875" style="1" customWidth="1"/>
    <col min="9399" max="9644" width="9.140625" style="1"/>
    <col min="9645" max="9647" width="18.42578125" style="1" customWidth="1"/>
    <col min="9648" max="9648" width="80.85546875" style="1" customWidth="1"/>
    <col min="9649" max="9649" width="15.140625" style="1" customWidth="1"/>
    <col min="9650" max="9650" width="11.28515625" style="1" bestFit="1" customWidth="1"/>
    <col min="9651" max="9651" width="14.7109375" style="1" customWidth="1"/>
    <col min="9652" max="9654" width="12.85546875" style="1" customWidth="1"/>
    <col min="9655" max="9900" width="9.140625" style="1"/>
    <col min="9901" max="9903" width="18.42578125" style="1" customWidth="1"/>
    <col min="9904" max="9904" width="80.85546875" style="1" customWidth="1"/>
    <col min="9905" max="9905" width="15.140625" style="1" customWidth="1"/>
    <col min="9906" max="9906" width="11.28515625" style="1" bestFit="1" customWidth="1"/>
    <col min="9907" max="9907" width="14.7109375" style="1" customWidth="1"/>
    <col min="9908" max="9910" width="12.85546875" style="1" customWidth="1"/>
    <col min="9911" max="10156" width="9.140625" style="1"/>
    <col min="10157" max="10159" width="18.42578125" style="1" customWidth="1"/>
    <col min="10160" max="10160" width="80.85546875" style="1" customWidth="1"/>
    <col min="10161" max="10161" width="15.140625" style="1" customWidth="1"/>
    <col min="10162" max="10162" width="11.28515625" style="1" bestFit="1" customWidth="1"/>
    <col min="10163" max="10163" width="14.7109375" style="1" customWidth="1"/>
    <col min="10164" max="10166" width="12.85546875" style="1" customWidth="1"/>
    <col min="10167" max="10412" width="9.140625" style="1"/>
    <col min="10413" max="10415" width="18.42578125" style="1" customWidth="1"/>
    <col min="10416" max="10416" width="80.85546875" style="1" customWidth="1"/>
    <col min="10417" max="10417" width="15.140625" style="1" customWidth="1"/>
    <col min="10418" max="10418" width="11.28515625" style="1" bestFit="1" customWidth="1"/>
    <col min="10419" max="10419" width="14.7109375" style="1" customWidth="1"/>
    <col min="10420" max="10422" width="12.85546875" style="1" customWidth="1"/>
    <col min="10423" max="10668" width="9.140625" style="1"/>
    <col min="10669" max="10671" width="18.42578125" style="1" customWidth="1"/>
    <col min="10672" max="10672" width="80.85546875" style="1" customWidth="1"/>
    <col min="10673" max="10673" width="15.140625" style="1" customWidth="1"/>
    <col min="10674" max="10674" width="11.28515625" style="1" bestFit="1" customWidth="1"/>
    <col min="10675" max="10675" width="14.7109375" style="1" customWidth="1"/>
    <col min="10676" max="10678" width="12.85546875" style="1" customWidth="1"/>
    <col min="10679" max="10924" width="9.140625" style="1"/>
    <col min="10925" max="10927" width="18.42578125" style="1" customWidth="1"/>
    <col min="10928" max="10928" width="80.85546875" style="1" customWidth="1"/>
    <col min="10929" max="10929" width="15.140625" style="1" customWidth="1"/>
    <col min="10930" max="10930" width="11.28515625" style="1" bestFit="1" customWidth="1"/>
    <col min="10931" max="10931" width="14.7109375" style="1" customWidth="1"/>
    <col min="10932" max="10934" width="12.85546875" style="1" customWidth="1"/>
    <col min="10935" max="11180" width="9.140625" style="1"/>
    <col min="11181" max="11183" width="18.42578125" style="1" customWidth="1"/>
    <col min="11184" max="11184" width="80.85546875" style="1" customWidth="1"/>
    <col min="11185" max="11185" width="15.140625" style="1" customWidth="1"/>
    <col min="11186" max="11186" width="11.28515625" style="1" bestFit="1" customWidth="1"/>
    <col min="11187" max="11187" width="14.7109375" style="1" customWidth="1"/>
    <col min="11188" max="11190" width="12.85546875" style="1" customWidth="1"/>
    <col min="11191" max="11436" width="9.140625" style="1"/>
    <col min="11437" max="11439" width="18.42578125" style="1" customWidth="1"/>
    <col min="11440" max="11440" width="80.85546875" style="1" customWidth="1"/>
    <col min="11441" max="11441" width="15.140625" style="1" customWidth="1"/>
    <col min="11442" max="11442" width="11.28515625" style="1" bestFit="1" customWidth="1"/>
    <col min="11443" max="11443" width="14.7109375" style="1" customWidth="1"/>
    <col min="11444" max="11446" width="12.85546875" style="1" customWidth="1"/>
    <col min="11447" max="11692" width="9.140625" style="1"/>
    <col min="11693" max="11695" width="18.42578125" style="1" customWidth="1"/>
    <col min="11696" max="11696" width="80.85546875" style="1" customWidth="1"/>
    <col min="11697" max="11697" width="15.140625" style="1" customWidth="1"/>
    <col min="11698" max="11698" width="11.28515625" style="1" bestFit="1" customWidth="1"/>
    <col min="11699" max="11699" width="14.7109375" style="1" customWidth="1"/>
    <col min="11700" max="11702" width="12.85546875" style="1" customWidth="1"/>
    <col min="11703" max="11948" width="9.140625" style="1"/>
    <col min="11949" max="11951" width="18.42578125" style="1" customWidth="1"/>
    <col min="11952" max="11952" width="80.85546875" style="1" customWidth="1"/>
    <col min="11953" max="11953" width="15.140625" style="1" customWidth="1"/>
    <col min="11954" max="11954" width="11.28515625" style="1" bestFit="1" customWidth="1"/>
    <col min="11955" max="11955" width="14.7109375" style="1" customWidth="1"/>
    <col min="11956" max="11958" width="12.85546875" style="1" customWidth="1"/>
    <col min="11959" max="12204" width="9.140625" style="1"/>
    <col min="12205" max="12207" width="18.42578125" style="1" customWidth="1"/>
    <col min="12208" max="12208" width="80.85546875" style="1" customWidth="1"/>
    <col min="12209" max="12209" width="15.140625" style="1" customWidth="1"/>
    <col min="12210" max="12210" width="11.28515625" style="1" bestFit="1" customWidth="1"/>
    <col min="12211" max="12211" width="14.7109375" style="1" customWidth="1"/>
    <col min="12212" max="12214" width="12.85546875" style="1" customWidth="1"/>
    <col min="12215" max="12460" width="9.140625" style="1"/>
    <col min="12461" max="12463" width="18.42578125" style="1" customWidth="1"/>
    <col min="12464" max="12464" width="80.85546875" style="1" customWidth="1"/>
    <col min="12465" max="12465" width="15.140625" style="1" customWidth="1"/>
    <col min="12466" max="12466" width="11.28515625" style="1" bestFit="1" customWidth="1"/>
    <col min="12467" max="12467" width="14.7109375" style="1" customWidth="1"/>
    <col min="12468" max="12470" width="12.85546875" style="1" customWidth="1"/>
    <col min="12471" max="12716" width="9.140625" style="1"/>
    <col min="12717" max="12719" width="18.42578125" style="1" customWidth="1"/>
    <col min="12720" max="12720" width="80.85546875" style="1" customWidth="1"/>
    <col min="12721" max="12721" width="15.140625" style="1" customWidth="1"/>
    <col min="12722" max="12722" width="11.28515625" style="1" bestFit="1" customWidth="1"/>
    <col min="12723" max="12723" width="14.7109375" style="1" customWidth="1"/>
    <col min="12724" max="12726" width="12.85546875" style="1" customWidth="1"/>
    <col min="12727" max="12972" width="9.140625" style="1"/>
    <col min="12973" max="12975" width="18.42578125" style="1" customWidth="1"/>
    <col min="12976" max="12976" width="80.85546875" style="1" customWidth="1"/>
    <col min="12977" max="12977" width="15.140625" style="1" customWidth="1"/>
    <col min="12978" max="12978" width="11.28515625" style="1" bestFit="1" customWidth="1"/>
    <col min="12979" max="12979" width="14.7109375" style="1" customWidth="1"/>
    <col min="12980" max="12982" width="12.85546875" style="1" customWidth="1"/>
    <col min="12983" max="13228" width="9.140625" style="1"/>
    <col min="13229" max="13231" width="18.42578125" style="1" customWidth="1"/>
    <col min="13232" max="13232" width="80.85546875" style="1" customWidth="1"/>
    <col min="13233" max="13233" width="15.140625" style="1" customWidth="1"/>
    <col min="13234" max="13234" width="11.28515625" style="1" bestFit="1" customWidth="1"/>
    <col min="13235" max="13235" width="14.7109375" style="1" customWidth="1"/>
    <col min="13236" max="13238" width="12.85546875" style="1" customWidth="1"/>
    <col min="13239" max="13484" width="9.140625" style="1"/>
    <col min="13485" max="13487" width="18.42578125" style="1" customWidth="1"/>
    <col min="13488" max="13488" width="80.85546875" style="1" customWidth="1"/>
    <col min="13489" max="13489" width="15.140625" style="1" customWidth="1"/>
    <col min="13490" max="13490" width="11.28515625" style="1" bestFit="1" customWidth="1"/>
    <col min="13491" max="13491" width="14.7109375" style="1" customWidth="1"/>
    <col min="13492" max="13494" width="12.85546875" style="1" customWidth="1"/>
    <col min="13495" max="13740" width="9.140625" style="1"/>
    <col min="13741" max="13743" width="18.42578125" style="1" customWidth="1"/>
    <col min="13744" max="13744" width="80.85546875" style="1" customWidth="1"/>
    <col min="13745" max="13745" width="15.140625" style="1" customWidth="1"/>
    <col min="13746" max="13746" width="11.28515625" style="1" bestFit="1" customWidth="1"/>
    <col min="13747" max="13747" width="14.7109375" style="1" customWidth="1"/>
    <col min="13748" max="13750" width="12.85546875" style="1" customWidth="1"/>
    <col min="13751" max="13996" width="9.140625" style="1"/>
    <col min="13997" max="13999" width="18.42578125" style="1" customWidth="1"/>
    <col min="14000" max="14000" width="80.85546875" style="1" customWidth="1"/>
    <col min="14001" max="14001" width="15.140625" style="1" customWidth="1"/>
    <col min="14002" max="14002" width="11.28515625" style="1" bestFit="1" customWidth="1"/>
    <col min="14003" max="14003" width="14.7109375" style="1" customWidth="1"/>
    <col min="14004" max="14006" width="12.85546875" style="1" customWidth="1"/>
    <col min="14007" max="14252" width="9.140625" style="1"/>
    <col min="14253" max="14255" width="18.42578125" style="1" customWidth="1"/>
    <col min="14256" max="14256" width="80.85546875" style="1" customWidth="1"/>
    <col min="14257" max="14257" width="15.140625" style="1" customWidth="1"/>
    <col min="14258" max="14258" width="11.28515625" style="1" bestFit="1" customWidth="1"/>
    <col min="14259" max="14259" width="14.7109375" style="1" customWidth="1"/>
    <col min="14260" max="14262" width="12.85546875" style="1" customWidth="1"/>
    <col min="14263" max="14508" width="9.140625" style="1"/>
    <col min="14509" max="14511" width="18.42578125" style="1" customWidth="1"/>
    <col min="14512" max="14512" width="80.85546875" style="1" customWidth="1"/>
    <col min="14513" max="14513" width="15.140625" style="1" customWidth="1"/>
    <col min="14514" max="14514" width="11.28515625" style="1" bestFit="1" customWidth="1"/>
    <col min="14515" max="14515" width="14.7109375" style="1" customWidth="1"/>
    <col min="14516" max="14518" width="12.85546875" style="1" customWidth="1"/>
    <col min="14519" max="14764" width="9.140625" style="1"/>
    <col min="14765" max="14767" width="18.42578125" style="1" customWidth="1"/>
    <col min="14768" max="14768" width="80.85546875" style="1" customWidth="1"/>
    <col min="14769" max="14769" width="15.140625" style="1" customWidth="1"/>
    <col min="14770" max="14770" width="11.28515625" style="1" bestFit="1" customWidth="1"/>
    <col min="14771" max="14771" width="14.7109375" style="1" customWidth="1"/>
    <col min="14772" max="14774" width="12.85546875" style="1" customWidth="1"/>
    <col min="14775" max="15020" width="9.140625" style="1"/>
    <col min="15021" max="15023" width="18.42578125" style="1" customWidth="1"/>
    <col min="15024" max="15024" width="80.85546875" style="1" customWidth="1"/>
    <col min="15025" max="15025" width="15.140625" style="1" customWidth="1"/>
    <col min="15026" max="15026" width="11.28515625" style="1" bestFit="1" customWidth="1"/>
    <col min="15027" max="15027" width="14.7109375" style="1" customWidth="1"/>
    <col min="15028" max="15030" width="12.85546875" style="1" customWidth="1"/>
    <col min="15031" max="15276" width="9.140625" style="1"/>
    <col min="15277" max="15279" width="18.42578125" style="1" customWidth="1"/>
    <col min="15280" max="15280" width="80.85546875" style="1" customWidth="1"/>
    <col min="15281" max="15281" width="15.140625" style="1" customWidth="1"/>
    <col min="15282" max="15282" width="11.28515625" style="1" bestFit="1" customWidth="1"/>
    <col min="15283" max="15283" width="14.7109375" style="1" customWidth="1"/>
    <col min="15284" max="15286" width="12.85546875" style="1" customWidth="1"/>
    <col min="15287" max="15532" width="9.140625" style="1"/>
    <col min="15533" max="15535" width="18.42578125" style="1" customWidth="1"/>
    <col min="15536" max="15536" width="80.85546875" style="1" customWidth="1"/>
    <col min="15537" max="15537" width="15.140625" style="1" customWidth="1"/>
    <col min="15538" max="15538" width="11.28515625" style="1" bestFit="1" customWidth="1"/>
    <col min="15539" max="15539" width="14.7109375" style="1" customWidth="1"/>
    <col min="15540" max="15542" width="12.85546875" style="1" customWidth="1"/>
    <col min="15543" max="15788" width="9.140625" style="1"/>
    <col min="15789" max="15791" width="18.42578125" style="1" customWidth="1"/>
    <col min="15792" max="15792" width="80.85546875" style="1" customWidth="1"/>
    <col min="15793" max="15793" width="15.140625" style="1" customWidth="1"/>
    <col min="15794" max="15794" width="11.28515625" style="1" bestFit="1" customWidth="1"/>
    <col min="15795" max="15795" width="14.7109375" style="1" customWidth="1"/>
    <col min="15796" max="15798" width="12.85546875" style="1" customWidth="1"/>
    <col min="15799" max="16044" width="9.140625" style="1"/>
    <col min="16045" max="16047" width="18.42578125" style="1" customWidth="1"/>
    <col min="16048" max="16048" width="80.85546875" style="1" customWidth="1"/>
    <col min="16049" max="16049" width="15.140625" style="1" customWidth="1"/>
    <col min="16050" max="16050" width="11.28515625" style="1" bestFit="1" customWidth="1"/>
    <col min="16051" max="16051" width="14.7109375" style="1" customWidth="1"/>
    <col min="16052" max="16054" width="12.85546875" style="1" customWidth="1"/>
    <col min="16055" max="16295" width="9.140625" style="1"/>
    <col min="16296" max="16319" width="9.140625" style="1" customWidth="1"/>
    <col min="16320" max="16384" width="9.140625" style="1"/>
  </cols>
  <sheetData>
    <row r="1" spans="4:12" s="16" customFormat="1" ht="12.75" x14ac:dyDescent="0.25">
      <c r="D1" s="17"/>
      <c r="E1" s="17"/>
      <c r="F1" s="17"/>
      <c r="G1" s="166"/>
      <c r="H1" s="17"/>
      <c r="I1" s="17"/>
      <c r="J1" s="17"/>
      <c r="K1" s="18"/>
      <c r="L1" s="275"/>
    </row>
    <row r="2" spans="4:12" s="16" customFormat="1" ht="12.75" x14ac:dyDescent="0.25">
      <c r="D2" s="17"/>
      <c r="E2" s="17"/>
      <c r="F2" s="17"/>
      <c r="G2" s="166"/>
      <c r="H2" s="17"/>
      <c r="I2" s="17"/>
      <c r="J2" s="17"/>
      <c r="K2" s="18"/>
      <c r="L2" s="275"/>
    </row>
    <row r="3" spans="4:12" s="16" customFormat="1" ht="12.75" x14ac:dyDescent="0.25">
      <c r="D3" s="17"/>
      <c r="E3" s="17"/>
      <c r="F3" s="17"/>
      <c r="G3" s="166"/>
      <c r="H3" s="17"/>
      <c r="I3" s="17"/>
      <c r="J3" s="17"/>
      <c r="K3" s="18"/>
      <c r="L3" s="275"/>
    </row>
    <row r="4" spans="4:12" s="16" customFormat="1" ht="12.75" x14ac:dyDescent="0.25">
      <c r="D4" s="17"/>
      <c r="E4" s="17"/>
      <c r="F4" s="17"/>
      <c r="G4" s="166"/>
      <c r="H4" s="17"/>
      <c r="I4" s="17"/>
      <c r="J4" s="17"/>
      <c r="K4" s="18"/>
      <c r="L4" s="275"/>
    </row>
    <row r="5" spans="4:12" s="16" customFormat="1" ht="12.75" x14ac:dyDescent="0.25">
      <c r="D5" s="17"/>
      <c r="E5" s="17"/>
      <c r="F5" s="17"/>
      <c r="G5" s="166"/>
      <c r="H5" s="17"/>
      <c r="I5" s="17"/>
      <c r="J5" s="17"/>
      <c r="K5" s="18"/>
      <c r="L5" s="275"/>
    </row>
    <row r="6" spans="4:12" s="16" customFormat="1" ht="12.75" x14ac:dyDescent="0.25">
      <c r="D6" s="17"/>
      <c r="E6" s="17"/>
      <c r="F6" s="17"/>
      <c r="G6" s="166"/>
      <c r="H6" s="17"/>
      <c r="I6" s="17"/>
      <c r="J6" s="17"/>
      <c r="K6" s="18"/>
      <c r="L6" s="275"/>
    </row>
    <row r="7" spans="4:12" s="16" customFormat="1" ht="12.75" x14ac:dyDescent="0.25">
      <c r="D7" s="17"/>
      <c r="E7" s="17"/>
      <c r="F7" s="17"/>
      <c r="G7" s="166"/>
      <c r="H7" s="17"/>
      <c r="I7" s="17"/>
      <c r="J7" s="17"/>
      <c r="K7" s="18"/>
      <c r="L7" s="275"/>
    </row>
    <row r="8" spans="4:12" s="16" customFormat="1" ht="12.75" x14ac:dyDescent="0.25">
      <c r="D8" s="17"/>
      <c r="E8" s="17"/>
      <c r="F8" s="17"/>
      <c r="G8" s="166"/>
      <c r="H8" s="17"/>
      <c r="I8" s="17"/>
      <c r="J8" s="17"/>
      <c r="K8" s="18"/>
      <c r="L8" s="275"/>
    </row>
    <row r="9" spans="4:12" s="16" customFormat="1" ht="12.75" x14ac:dyDescent="0.25">
      <c r="D9" s="17"/>
      <c r="E9" s="17"/>
      <c r="F9" s="17"/>
      <c r="G9" s="166"/>
      <c r="H9" s="17"/>
      <c r="I9" s="17"/>
      <c r="J9" s="17"/>
      <c r="K9" s="18"/>
      <c r="L9" s="275"/>
    </row>
    <row r="10" spans="4:12" s="16" customFormat="1" ht="12.75" x14ac:dyDescent="0.25">
      <c r="D10" s="17"/>
      <c r="E10" s="17"/>
      <c r="F10" s="17"/>
      <c r="G10" s="166"/>
      <c r="H10" s="17"/>
      <c r="I10" s="17"/>
      <c r="J10" s="17"/>
      <c r="K10" s="18"/>
      <c r="L10" s="275"/>
    </row>
    <row r="11" spans="4:12" s="16" customFormat="1" ht="12.75" x14ac:dyDescent="0.25">
      <c r="D11" s="17"/>
      <c r="E11" s="17"/>
      <c r="F11" s="17"/>
      <c r="G11" s="166"/>
      <c r="H11" s="17"/>
      <c r="I11" s="17"/>
      <c r="J11" s="17"/>
      <c r="K11" s="18"/>
      <c r="L11" s="275"/>
    </row>
    <row r="12" spans="4:12" s="16" customFormat="1" ht="12.75" x14ac:dyDescent="0.25">
      <c r="D12" s="17"/>
      <c r="E12" s="17"/>
      <c r="F12" s="17"/>
      <c r="G12" s="166"/>
      <c r="H12" s="17"/>
      <c r="I12" s="17"/>
      <c r="J12" s="17"/>
      <c r="K12" s="18"/>
      <c r="L12" s="275"/>
    </row>
    <row r="13" spans="4:12" s="16" customFormat="1" ht="12.75" x14ac:dyDescent="0.25">
      <c r="D13" s="17"/>
      <c r="E13" s="17"/>
      <c r="F13" s="17"/>
      <c r="G13" s="166"/>
      <c r="H13" s="17"/>
      <c r="I13" s="17"/>
      <c r="J13" s="17"/>
      <c r="K13" s="18"/>
      <c r="L13" s="275"/>
    </row>
    <row r="14" spans="4:12" s="16" customFormat="1" ht="12.75" x14ac:dyDescent="0.25">
      <c r="D14" s="17"/>
      <c r="E14" s="17"/>
      <c r="F14" s="17"/>
      <c r="G14" s="166"/>
      <c r="H14" s="17"/>
      <c r="I14" s="17"/>
      <c r="J14" s="17"/>
      <c r="K14" s="18"/>
      <c r="L14" s="275"/>
    </row>
    <row r="15" spans="4:12" s="16" customFormat="1" ht="12.75" x14ac:dyDescent="0.25">
      <c r="D15" s="17"/>
      <c r="E15" s="17"/>
      <c r="F15" s="17"/>
      <c r="G15" s="166"/>
      <c r="H15" s="17"/>
      <c r="I15" s="17"/>
      <c r="J15" s="17"/>
      <c r="K15" s="18"/>
      <c r="L15" s="275"/>
    </row>
    <row r="16" spans="4:12" s="16" customFormat="1" ht="12.75" x14ac:dyDescent="0.25">
      <c r="D16" s="17"/>
      <c r="E16" s="17"/>
      <c r="F16" s="17"/>
      <c r="G16" s="166"/>
      <c r="H16" s="17"/>
      <c r="I16" s="17"/>
      <c r="J16" s="17"/>
      <c r="K16" s="18"/>
      <c r="L16" s="275"/>
    </row>
    <row r="17" spans="4:12" s="16" customFormat="1" ht="12.75" x14ac:dyDescent="0.25">
      <c r="D17" s="17"/>
      <c r="E17" s="17"/>
      <c r="F17" s="17"/>
      <c r="G17" s="166"/>
      <c r="H17" s="17"/>
      <c r="I17" s="17"/>
      <c r="J17" s="17"/>
      <c r="K17" s="18"/>
      <c r="L17" s="275"/>
    </row>
    <row r="18" spans="4:12" s="16" customFormat="1" ht="12.75" x14ac:dyDescent="0.25">
      <c r="D18" s="17"/>
      <c r="E18" s="17"/>
      <c r="F18" s="17"/>
      <c r="G18" s="166"/>
      <c r="H18" s="17"/>
      <c r="I18" s="17"/>
      <c r="J18" s="17"/>
      <c r="K18" s="18"/>
      <c r="L18" s="275"/>
    </row>
    <row r="19" spans="4:12" s="16" customFormat="1" ht="12.75" x14ac:dyDescent="0.25">
      <c r="D19" s="17"/>
      <c r="E19" s="17"/>
      <c r="F19" s="17"/>
      <c r="G19" s="166"/>
      <c r="H19" s="17"/>
      <c r="I19" s="17"/>
      <c r="J19" s="17"/>
      <c r="K19" s="18"/>
      <c r="L19" s="275"/>
    </row>
    <row r="20" spans="4:12" s="16" customFormat="1" ht="12.75" x14ac:dyDescent="0.25">
      <c r="D20" s="17"/>
      <c r="E20" s="17"/>
      <c r="F20" s="17"/>
      <c r="G20" s="166"/>
      <c r="H20" s="17"/>
      <c r="I20" s="17"/>
      <c r="J20" s="17"/>
      <c r="K20" s="18"/>
      <c r="L20" s="275"/>
    </row>
    <row r="21" spans="4:12" s="16" customFormat="1" ht="12.75" x14ac:dyDescent="0.25">
      <c r="D21" s="17"/>
      <c r="E21" s="17"/>
      <c r="F21" s="17"/>
      <c r="G21" s="166"/>
      <c r="H21" s="17"/>
      <c r="I21" s="17"/>
      <c r="J21" s="17"/>
      <c r="K21" s="18"/>
      <c r="L21" s="275"/>
    </row>
    <row r="22" spans="4:12" s="16" customFormat="1" ht="12.75" x14ac:dyDescent="0.25">
      <c r="D22" s="17"/>
      <c r="E22" s="17"/>
      <c r="F22" s="17"/>
      <c r="G22" s="166"/>
      <c r="H22" s="17"/>
      <c r="I22" s="17"/>
      <c r="J22" s="17"/>
      <c r="K22" s="18"/>
      <c r="L22" s="275"/>
    </row>
    <row r="23" spans="4:12" s="16" customFormat="1" ht="12.75" x14ac:dyDescent="0.25">
      <c r="D23" s="17"/>
      <c r="E23" s="17"/>
      <c r="F23" s="17"/>
      <c r="G23" s="166"/>
      <c r="H23" s="17"/>
      <c r="I23" s="17"/>
      <c r="J23" s="17"/>
      <c r="K23" s="18"/>
      <c r="L23" s="275"/>
    </row>
    <row r="24" spans="4:12" s="16" customFormat="1" ht="12.75" x14ac:dyDescent="0.25">
      <c r="D24" s="17"/>
      <c r="E24" s="17"/>
      <c r="F24" s="17"/>
      <c r="G24" s="166"/>
      <c r="H24" s="17"/>
      <c r="I24" s="17"/>
      <c r="J24" s="17"/>
      <c r="K24" s="18"/>
      <c r="L24" s="275"/>
    </row>
    <row r="25" spans="4:12" s="16" customFormat="1" ht="12.75" x14ac:dyDescent="0.25">
      <c r="D25" s="17"/>
      <c r="E25" s="17"/>
      <c r="F25" s="17"/>
      <c r="G25" s="166"/>
      <c r="H25" s="17"/>
      <c r="I25" s="17"/>
      <c r="J25" s="17"/>
      <c r="K25" s="18"/>
      <c r="L25" s="275"/>
    </row>
    <row r="26" spans="4:12" s="16" customFormat="1" ht="12.75" x14ac:dyDescent="0.25">
      <c r="D26" s="17"/>
      <c r="E26" s="17"/>
      <c r="F26" s="17"/>
      <c r="G26" s="166"/>
      <c r="H26" s="17"/>
      <c r="I26" s="17"/>
      <c r="J26" s="17"/>
      <c r="K26" s="18"/>
      <c r="L26" s="275"/>
    </row>
    <row r="27" spans="4:12" s="16" customFormat="1" ht="12.75" x14ac:dyDescent="0.25">
      <c r="D27" s="17"/>
      <c r="E27" s="17"/>
      <c r="F27" s="17"/>
      <c r="G27" s="166"/>
      <c r="H27" s="17"/>
      <c r="I27" s="17"/>
      <c r="J27" s="17"/>
      <c r="K27" s="18"/>
      <c r="L27" s="275"/>
    </row>
    <row r="28" spans="4:12" s="16" customFormat="1" ht="12.75" x14ac:dyDescent="0.25">
      <c r="D28" s="17"/>
      <c r="E28" s="17"/>
      <c r="F28" s="17"/>
      <c r="G28" s="166"/>
      <c r="H28" s="17"/>
      <c r="I28" s="17"/>
      <c r="J28" s="17"/>
      <c r="K28" s="18"/>
      <c r="L28" s="275"/>
    </row>
    <row r="29" spans="4:12" s="16" customFormat="1" ht="12.75" x14ac:dyDescent="0.25">
      <c r="D29" s="17"/>
      <c r="E29" s="17"/>
      <c r="F29" s="17"/>
      <c r="G29" s="166"/>
      <c r="H29" s="17"/>
      <c r="I29" s="17"/>
      <c r="J29" s="17"/>
      <c r="K29" s="18"/>
      <c r="L29" s="275"/>
    </row>
    <row r="30" spans="4:12" s="16" customFormat="1" ht="12.75" x14ac:dyDescent="0.25">
      <c r="D30" s="17"/>
      <c r="E30" s="17"/>
      <c r="F30" s="17"/>
      <c r="G30" s="166"/>
      <c r="H30" s="17"/>
      <c r="I30" s="17"/>
      <c r="J30" s="17"/>
      <c r="K30" s="18"/>
      <c r="L30" s="275"/>
    </row>
    <row r="31" spans="4:12" s="16" customFormat="1" ht="12.75" x14ac:dyDescent="0.25">
      <c r="D31" s="17"/>
      <c r="E31" s="17"/>
      <c r="F31" s="17"/>
      <c r="G31" s="166"/>
      <c r="H31" s="17"/>
      <c r="I31" s="17"/>
      <c r="J31" s="17"/>
      <c r="K31" s="18"/>
      <c r="L31" s="275"/>
    </row>
    <row r="32" spans="4:12" s="16" customFormat="1" ht="12.75" x14ac:dyDescent="0.25">
      <c r="D32" s="17"/>
      <c r="E32" s="17"/>
      <c r="F32" s="17"/>
      <c r="G32" s="166"/>
      <c r="H32" s="17"/>
      <c r="I32" s="17"/>
      <c r="J32" s="17"/>
      <c r="K32" s="18"/>
      <c r="L32" s="275"/>
    </row>
    <row r="33" spans="4:12" s="16" customFormat="1" ht="12.75" x14ac:dyDescent="0.25">
      <c r="D33" s="17"/>
      <c r="E33" s="17"/>
      <c r="F33" s="17"/>
      <c r="G33" s="166"/>
      <c r="H33" s="17"/>
      <c r="I33" s="17"/>
      <c r="J33" s="17"/>
      <c r="K33" s="18"/>
      <c r="L33" s="275"/>
    </row>
    <row r="34" spans="4:12" s="16" customFormat="1" ht="12.75" x14ac:dyDescent="0.25">
      <c r="D34" s="17"/>
      <c r="E34" s="17"/>
      <c r="F34" s="17"/>
      <c r="G34" s="166"/>
      <c r="H34" s="17"/>
      <c r="I34" s="17"/>
      <c r="J34" s="17"/>
      <c r="K34" s="18"/>
      <c r="L34" s="275"/>
    </row>
    <row r="35" spans="4:12" s="16" customFormat="1" ht="12.75" x14ac:dyDescent="0.25">
      <c r="D35" s="17"/>
      <c r="E35" s="17"/>
      <c r="F35" s="17"/>
      <c r="G35" s="166"/>
      <c r="H35" s="17"/>
      <c r="I35" s="17"/>
      <c r="J35" s="17"/>
      <c r="K35" s="18"/>
      <c r="L35" s="275"/>
    </row>
    <row r="36" spans="4:12" s="16" customFormat="1" ht="12.75" x14ac:dyDescent="0.25">
      <c r="D36" s="17"/>
      <c r="E36" s="17"/>
      <c r="F36" s="17"/>
      <c r="G36" s="166"/>
      <c r="H36" s="17"/>
      <c r="I36" s="17"/>
      <c r="J36" s="17"/>
      <c r="K36" s="18"/>
      <c r="L36" s="275"/>
    </row>
    <row r="37" spans="4:12" s="16" customFormat="1" ht="12.75" x14ac:dyDescent="0.25">
      <c r="D37" s="17"/>
      <c r="E37" s="17"/>
      <c r="F37" s="17"/>
      <c r="G37" s="166"/>
      <c r="H37" s="17"/>
      <c r="I37" s="17"/>
      <c r="J37" s="17"/>
      <c r="K37" s="18"/>
      <c r="L37" s="275"/>
    </row>
    <row r="38" spans="4:12" s="16" customFormat="1" ht="12.75" x14ac:dyDescent="0.25">
      <c r="D38" s="17"/>
      <c r="E38" s="17"/>
      <c r="F38" s="17"/>
      <c r="G38" s="166"/>
      <c r="H38" s="17"/>
      <c r="I38" s="17"/>
      <c r="J38" s="17"/>
      <c r="K38" s="18"/>
      <c r="L38" s="275"/>
    </row>
    <row r="39" spans="4:12" s="16" customFormat="1" ht="12.75" x14ac:dyDescent="0.25">
      <c r="D39" s="17"/>
      <c r="E39" s="17"/>
      <c r="F39" s="17"/>
      <c r="G39" s="166"/>
      <c r="H39" s="17"/>
      <c r="I39" s="17"/>
      <c r="J39" s="17"/>
      <c r="K39" s="18"/>
      <c r="L39" s="275"/>
    </row>
    <row r="40" spans="4:12" s="16" customFormat="1" ht="12.75" x14ac:dyDescent="0.25">
      <c r="D40" s="17"/>
      <c r="E40" s="17"/>
      <c r="F40" s="17"/>
      <c r="G40" s="166"/>
      <c r="H40" s="17"/>
      <c r="I40" s="17"/>
      <c r="J40" s="17"/>
      <c r="K40" s="18"/>
      <c r="L40" s="275"/>
    </row>
    <row r="41" spans="4:12" s="16" customFormat="1" ht="12.75" x14ac:dyDescent="0.25">
      <c r="D41" s="17"/>
      <c r="E41" s="17"/>
      <c r="F41" s="17"/>
      <c r="G41" s="166"/>
      <c r="H41" s="17"/>
      <c r="I41" s="17"/>
      <c r="J41" s="17"/>
      <c r="K41" s="18"/>
      <c r="L41" s="275"/>
    </row>
    <row r="42" spans="4:12" s="16" customFormat="1" ht="12.75" x14ac:dyDescent="0.25">
      <c r="D42" s="17"/>
      <c r="E42" s="17"/>
      <c r="F42" s="17"/>
      <c r="G42" s="166"/>
      <c r="H42" s="17"/>
      <c r="I42" s="17"/>
      <c r="J42" s="17"/>
      <c r="K42" s="18"/>
      <c r="L42" s="275"/>
    </row>
    <row r="43" spans="4:12" s="16" customFormat="1" ht="12.75" x14ac:dyDescent="0.25">
      <c r="D43" s="17"/>
      <c r="E43" s="17"/>
      <c r="F43" s="17"/>
      <c r="G43" s="166"/>
      <c r="H43" s="17"/>
      <c r="I43" s="17"/>
      <c r="J43" s="17"/>
      <c r="K43" s="18"/>
      <c r="L43" s="275"/>
    </row>
    <row r="44" spans="4:12" s="16" customFormat="1" ht="12.75" x14ac:dyDescent="0.25">
      <c r="D44" s="17"/>
      <c r="E44" s="17"/>
      <c r="F44" s="17"/>
      <c r="G44" s="166"/>
      <c r="H44" s="17"/>
      <c r="I44" s="17"/>
      <c r="J44" s="17"/>
      <c r="K44" s="18"/>
      <c r="L44" s="275"/>
    </row>
    <row r="45" spans="4:12" s="16" customFormat="1" ht="12.75" x14ac:dyDescent="0.25">
      <c r="D45" s="17"/>
      <c r="E45" s="17"/>
      <c r="F45" s="17"/>
      <c r="G45" s="166"/>
      <c r="H45" s="17"/>
      <c r="I45" s="17"/>
      <c r="J45" s="17"/>
      <c r="K45" s="18"/>
      <c r="L45" s="275"/>
    </row>
    <row r="46" spans="4:12" s="16" customFormat="1" ht="12.75" x14ac:dyDescent="0.25">
      <c r="D46" s="17"/>
      <c r="E46" s="17"/>
      <c r="F46" s="17"/>
      <c r="G46" s="166"/>
      <c r="H46" s="17"/>
      <c r="I46" s="17"/>
      <c r="J46" s="17"/>
      <c r="K46" s="18"/>
      <c r="L46" s="275"/>
    </row>
    <row r="47" spans="4:12" s="16" customFormat="1" ht="12.75" x14ac:dyDescent="0.25">
      <c r="D47" s="17"/>
      <c r="E47" s="17"/>
      <c r="F47" s="17"/>
      <c r="G47" s="166"/>
      <c r="H47" s="17"/>
      <c r="I47" s="17"/>
      <c r="J47" s="17"/>
      <c r="K47" s="18"/>
      <c r="L47" s="275"/>
    </row>
    <row r="48" spans="4:12" s="16" customFormat="1" ht="12.75" x14ac:dyDescent="0.25">
      <c r="D48" s="17"/>
      <c r="E48" s="17"/>
      <c r="F48" s="17"/>
      <c r="G48" s="166"/>
      <c r="H48" s="17"/>
      <c r="I48" s="17"/>
      <c r="J48" s="17"/>
      <c r="K48" s="18"/>
      <c r="L48" s="275"/>
    </row>
    <row r="49" spans="4:12" s="16" customFormat="1" ht="12.75" x14ac:dyDescent="0.25">
      <c r="D49" s="17"/>
      <c r="E49" s="17"/>
      <c r="F49" s="17"/>
      <c r="G49" s="166"/>
      <c r="H49" s="17"/>
      <c r="I49" s="17"/>
      <c r="J49" s="17"/>
      <c r="K49" s="18"/>
      <c r="L49" s="275"/>
    </row>
    <row r="50" spans="4:12" s="16" customFormat="1" ht="12.75" x14ac:dyDescent="0.25">
      <c r="D50" s="17"/>
      <c r="E50" s="17"/>
      <c r="F50" s="17"/>
      <c r="G50" s="166"/>
      <c r="H50" s="17"/>
      <c r="I50" s="17"/>
      <c r="J50" s="17"/>
      <c r="K50" s="18"/>
      <c r="L50" s="275"/>
    </row>
    <row r="51" spans="4:12" s="16" customFormat="1" ht="12.75" x14ac:dyDescent="0.25">
      <c r="D51" s="17"/>
      <c r="E51" s="17"/>
      <c r="F51" s="17"/>
      <c r="G51" s="166"/>
      <c r="H51" s="17"/>
      <c r="I51" s="17"/>
      <c r="J51" s="17"/>
      <c r="K51" s="18"/>
      <c r="L51" s="275"/>
    </row>
    <row r="52" spans="4:12" s="16" customFormat="1" ht="12.75" x14ac:dyDescent="0.25">
      <c r="D52" s="17"/>
      <c r="E52" s="17"/>
      <c r="F52" s="17"/>
      <c r="G52" s="166"/>
      <c r="H52" s="17"/>
      <c r="I52" s="17"/>
      <c r="J52" s="17"/>
      <c r="K52" s="18"/>
      <c r="L52" s="275"/>
    </row>
    <row r="53" spans="4:12" s="16" customFormat="1" ht="12.75" x14ac:dyDescent="0.25">
      <c r="D53" s="17"/>
      <c r="E53" s="17"/>
      <c r="F53" s="17"/>
      <c r="G53" s="166"/>
      <c r="H53" s="17"/>
      <c r="I53" s="17"/>
      <c r="J53" s="17"/>
      <c r="K53" s="18"/>
      <c r="L53" s="275"/>
    </row>
    <row r="54" spans="4:12" s="16" customFormat="1" ht="12.75" x14ac:dyDescent="0.25">
      <c r="D54" s="17"/>
      <c r="E54" s="17"/>
      <c r="F54" s="17"/>
      <c r="G54" s="166"/>
      <c r="H54" s="17"/>
      <c r="I54" s="17"/>
      <c r="J54" s="17"/>
      <c r="K54" s="18"/>
      <c r="L54" s="275"/>
    </row>
    <row r="55" spans="4:12" s="16" customFormat="1" ht="12.75" x14ac:dyDescent="0.25">
      <c r="D55" s="17"/>
      <c r="E55" s="17"/>
      <c r="F55" s="17"/>
      <c r="G55" s="166"/>
      <c r="H55" s="17"/>
      <c r="I55" s="17"/>
      <c r="J55" s="17"/>
      <c r="K55" s="18"/>
      <c r="L55" s="275"/>
    </row>
    <row r="56" spans="4:12" s="16" customFormat="1" ht="12.75" x14ac:dyDescent="0.25">
      <c r="D56" s="17"/>
      <c r="E56" s="17"/>
      <c r="F56" s="17"/>
      <c r="G56" s="166"/>
      <c r="H56" s="17"/>
      <c r="I56" s="17"/>
      <c r="J56" s="17"/>
      <c r="K56" s="18"/>
      <c r="L56" s="275"/>
    </row>
    <row r="57" spans="4:12" s="16" customFormat="1" ht="12.75" x14ac:dyDescent="0.25">
      <c r="D57" s="17"/>
      <c r="E57" s="17"/>
      <c r="F57" s="17"/>
      <c r="G57" s="166"/>
      <c r="H57" s="17"/>
      <c r="I57" s="17"/>
      <c r="J57" s="17"/>
      <c r="K57" s="18"/>
      <c r="L57" s="275"/>
    </row>
    <row r="58" spans="4:12" s="16" customFormat="1" ht="12.75" x14ac:dyDescent="0.25">
      <c r="D58" s="17"/>
      <c r="E58" s="17"/>
      <c r="F58" s="17"/>
      <c r="G58" s="166"/>
      <c r="H58" s="17"/>
      <c r="I58" s="17"/>
      <c r="J58" s="17"/>
      <c r="K58" s="18"/>
      <c r="L58" s="275"/>
    </row>
    <row r="59" spans="4:12" s="16" customFormat="1" ht="12.75" x14ac:dyDescent="0.25">
      <c r="D59" s="17"/>
      <c r="E59" s="17"/>
      <c r="F59" s="17"/>
      <c r="G59" s="166"/>
      <c r="H59" s="17"/>
      <c r="I59" s="17"/>
      <c r="J59" s="17"/>
      <c r="K59" s="18"/>
      <c r="L59" s="275"/>
    </row>
    <row r="60" spans="4:12" s="16" customFormat="1" ht="12.75" x14ac:dyDescent="0.25">
      <c r="D60" s="17"/>
      <c r="E60" s="17"/>
      <c r="F60" s="17"/>
      <c r="G60" s="166"/>
      <c r="H60" s="17"/>
      <c r="I60" s="17"/>
      <c r="J60" s="17"/>
      <c r="K60" s="18"/>
      <c r="L60" s="275"/>
    </row>
    <row r="61" spans="4:12" s="16" customFormat="1" ht="12.75" x14ac:dyDescent="0.25">
      <c r="D61" s="17"/>
      <c r="E61" s="17"/>
      <c r="F61" s="17"/>
      <c r="G61" s="166"/>
      <c r="H61" s="17"/>
      <c r="I61" s="17"/>
      <c r="J61" s="17"/>
      <c r="K61" s="18"/>
      <c r="L61" s="275"/>
    </row>
    <row r="62" spans="4:12" s="16" customFormat="1" ht="12.75" x14ac:dyDescent="0.25">
      <c r="D62" s="17"/>
      <c r="E62" s="17"/>
      <c r="F62" s="17"/>
      <c r="G62" s="166"/>
      <c r="H62" s="17"/>
      <c r="I62" s="17"/>
      <c r="J62" s="17"/>
      <c r="K62" s="18"/>
      <c r="L62" s="275"/>
    </row>
    <row r="63" spans="4:12" s="16" customFormat="1" ht="12.75" x14ac:dyDescent="0.25">
      <c r="D63" s="17"/>
      <c r="E63" s="17"/>
      <c r="F63" s="17"/>
      <c r="G63" s="166"/>
      <c r="H63" s="17"/>
      <c r="I63" s="17"/>
      <c r="J63" s="17"/>
      <c r="K63" s="18"/>
      <c r="L63" s="275"/>
    </row>
    <row r="64" spans="4:12" s="16" customFormat="1" ht="12.75" x14ac:dyDescent="0.25">
      <c r="D64" s="17"/>
      <c r="E64" s="17"/>
      <c r="F64" s="17"/>
      <c r="G64" s="166"/>
      <c r="H64" s="17"/>
      <c r="I64" s="17"/>
      <c r="J64" s="17"/>
      <c r="K64" s="18"/>
      <c r="L64" s="275"/>
    </row>
    <row r="65" spans="4:12" s="16" customFormat="1" ht="12.75" x14ac:dyDescent="0.25">
      <c r="D65" s="17"/>
      <c r="E65" s="17"/>
      <c r="F65" s="17"/>
      <c r="G65" s="166"/>
      <c r="H65" s="17"/>
      <c r="I65" s="17"/>
      <c r="J65" s="17"/>
      <c r="K65" s="18"/>
      <c r="L65" s="275"/>
    </row>
    <row r="66" spans="4:12" s="16" customFormat="1" ht="12.75" x14ac:dyDescent="0.25">
      <c r="D66" s="17"/>
      <c r="E66" s="17"/>
      <c r="F66" s="17"/>
      <c r="G66" s="166"/>
      <c r="H66" s="17"/>
      <c r="I66" s="17"/>
      <c r="J66" s="17"/>
      <c r="K66" s="18"/>
      <c r="L66" s="275"/>
    </row>
    <row r="67" spans="4:12" s="16" customFormat="1" ht="12.75" x14ac:dyDescent="0.25">
      <c r="D67" s="17"/>
      <c r="E67" s="17"/>
      <c r="F67" s="17"/>
      <c r="G67" s="166"/>
      <c r="H67" s="17"/>
      <c r="I67" s="17"/>
      <c r="J67" s="17"/>
      <c r="K67" s="18"/>
      <c r="L67" s="275"/>
    </row>
    <row r="68" spans="4:12" s="16" customFormat="1" ht="12.75" x14ac:dyDescent="0.25">
      <c r="D68" s="17"/>
      <c r="E68" s="17"/>
      <c r="F68" s="17"/>
      <c r="G68" s="166"/>
      <c r="H68" s="17"/>
      <c r="I68" s="17"/>
      <c r="J68" s="17"/>
      <c r="K68" s="18"/>
      <c r="L68" s="275"/>
    </row>
    <row r="69" spans="4:12" s="16" customFormat="1" ht="12.75" x14ac:dyDescent="0.25">
      <c r="D69" s="17"/>
      <c r="E69" s="17"/>
      <c r="F69" s="17"/>
      <c r="G69" s="166"/>
      <c r="H69" s="17"/>
      <c r="I69" s="17"/>
      <c r="J69" s="17"/>
      <c r="K69" s="18"/>
      <c r="L69" s="275"/>
    </row>
    <row r="70" spans="4:12" s="16" customFormat="1" ht="12.75" x14ac:dyDescent="0.25">
      <c r="D70" s="17"/>
      <c r="E70" s="17"/>
      <c r="F70" s="17"/>
      <c r="G70" s="166"/>
      <c r="H70" s="17"/>
      <c r="I70" s="17"/>
      <c r="J70" s="17"/>
      <c r="K70" s="18"/>
      <c r="L70" s="275"/>
    </row>
    <row r="71" spans="4:12" s="16" customFormat="1" ht="12.75" x14ac:dyDescent="0.25">
      <c r="D71" s="17"/>
      <c r="E71" s="17"/>
      <c r="F71" s="17"/>
      <c r="G71" s="166"/>
      <c r="H71" s="17"/>
      <c r="I71" s="17"/>
      <c r="J71" s="17"/>
      <c r="K71" s="18"/>
      <c r="L71" s="275"/>
    </row>
    <row r="72" spans="4:12" s="16" customFormat="1" ht="12.75" x14ac:dyDescent="0.25">
      <c r="D72" s="17"/>
      <c r="E72" s="17"/>
      <c r="F72" s="17"/>
      <c r="G72" s="166"/>
      <c r="H72" s="17"/>
      <c r="I72" s="17"/>
      <c r="J72" s="17"/>
      <c r="K72" s="18"/>
      <c r="L72" s="275"/>
    </row>
    <row r="73" spans="4:12" s="16" customFormat="1" ht="12.75" x14ac:dyDescent="0.25">
      <c r="D73" s="17"/>
      <c r="E73" s="17"/>
      <c r="F73" s="17"/>
      <c r="G73" s="166"/>
      <c r="H73" s="17"/>
      <c r="I73" s="17"/>
      <c r="J73" s="17"/>
      <c r="K73" s="18"/>
      <c r="L73" s="275"/>
    </row>
    <row r="74" spans="4:12" s="16" customFormat="1" ht="12.75" x14ac:dyDescent="0.25">
      <c r="D74" s="17"/>
      <c r="E74" s="17"/>
      <c r="F74" s="17"/>
      <c r="G74" s="166"/>
      <c r="H74" s="17"/>
      <c r="I74" s="17"/>
      <c r="J74" s="17"/>
      <c r="K74" s="18"/>
      <c r="L74" s="275"/>
    </row>
    <row r="75" spans="4:12" s="16" customFormat="1" ht="12.75" x14ac:dyDescent="0.25">
      <c r="D75" s="17"/>
      <c r="E75" s="17"/>
      <c r="F75" s="17"/>
      <c r="G75" s="166"/>
      <c r="H75" s="17"/>
      <c r="I75" s="17"/>
      <c r="J75" s="17"/>
      <c r="K75" s="18"/>
      <c r="L75" s="275"/>
    </row>
    <row r="76" spans="4:12" s="16" customFormat="1" ht="12.75" x14ac:dyDescent="0.25">
      <c r="D76" s="17"/>
      <c r="E76" s="17"/>
      <c r="F76" s="17"/>
      <c r="G76" s="166"/>
      <c r="H76" s="17"/>
      <c r="I76" s="17"/>
      <c r="J76" s="17"/>
      <c r="K76" s="18"/>
      <c r="L76" s="275"/>
    </row>
    <row r="77" spans="4:12" s="16" customFormat="1" ht="12.75" x14ac:dyDescent="0.25">
      <c r="D77" s="17"/>
      <c r="E77" s="17"/>
      <c r="F77" s="17"/>
      <c r="G77" s="166"/>
      <c r="H77" s="17"/>
      <c r="I77" s="17"/>
      <c r="J77" s="17"/>
      <c r="K77" s="18"/>
      <c r="L77" s="275"/>
    </row>
    <row r="78" spans="4:12" s="16" customFormat="1" ht="12.75" x14ac:dyDescent="0.25">
      <c r="D78" s="17"/>
      <c r="E78" s="17"/>
      <c r="F78" s="17"/>
      <c r="G78" s="166"/>
      <c r="H78" s="17"/>
      <c r="I78" s="17"/>
      <c r="J78" s="17"/>
      <c r="K78" s="18"/>
      <c r="L78" s="275"/>
    </row>
    <row r="79" spans="4:12" s="16" customFormat="1" ht="12.75" x14ac:dyDescent="0.25">
      <c r="D79" s="17"/>
      <c r="E79" s="17"/>
      <c r="F79" s="17"/>
      <c r="G79" s="166"/>
      <c r="H79" s="17"/>
      <c r="I79" s="17"/>
      <c r="J79" s="17"/>
      <c r="K79" s="18"/>
      <c r="L79" s="275"/>
    </row>
    <row r="80" spans="4:12" s="16" customFormat="1" ht="12.75" x14ac:dyDescent="0.25">
      <c r="D80" s="17"/>
      <c r="E80" s="17"/>
      <c r="F80" s="17"/>
      <c r="G80" s="166"/>
      <c r="H80" s="17"/>
      <c r="I80" s="17"/>
      <c r="J80" s="17"/>
      <c r="K80" s="18"/>
      <c r="L80" s="275"/>
    </row>
    <row r="81" spans="4:12" s="16" customFormat="1" ht="12.75" x14ac:dyDescent="0.25">
      <c r="D81" s="17"/>
      <c r="E81" s="17"/>
      <c r="F81" s="17"/>
      <c r="G81" s="166"/>
      <c r="H81" s="17"/>
      <c r="I81" s="17"/>
      <c r="J81" s="17"/>
      <c r="K81" s="18"/>
      <c r="L81" s="275"/>
    </row>
    <row r="82" spans="4:12" s="16" customFormat="1" ht="12.75" x14ac:dyDescent="0.25">
      <c r="D82" s="17"/>
      <c r="E82" s="17"/>
      <c r="F82" s="17"/>
      <c r="G82" s="166"/>
      <c r="H82" s="17"/>
      <c r="I82" s="17"/>
      <c r="J82" s="17"/>
      <c r="K82" s="18"/>
      <c r="L82" s="275"/>
    </row>
    <row r="83" spans="4:12" s="16" customFormat="1" ht="12.75" x14ac:dyDescent="0.25">
      <c r="D83" s="17"/>
      <c r="E83" s="17"/>
      <c r="F83" s="17"/>
      <c r="G83" s="166"/>
      <c r="H83" s="17"/>
      <c r="I83" s="17"/>
      <c r="J83" s="17"/>
      <c r="K83" s="18"/>
      <c r="L83" s="275"/>
    </row>
    <row r="84" spans="4:12" s="16" customFormat="1" ht="12.75" x14ac:dyDescent="0.25">
      <c r="D84" s="17"/>
      <c r="E84" s="17"/>
      <c r="F84" s="17"/>
      <c r="G84" s="166"/>
      <c r="H84" s="17"/>
      <c r="I84" s="17"/>
      <c r="J84" s="17"/>
      <c r="K84" s="18"/>
      <c r="L84" s="275"/>
    </row>
    <row r="85" spans="4:12" s="16" customFormat="1" ht="12.75" x14ac:dyDescent="0.25">
      <c r="D85" s="17"/>
      <c r="E85" s="17"/>
      <c r="F85" s="17"/>
      <c r="G85" s="166"/>
      <c r="H85" s="17"/>
      <c r="I85" s="17"/>
      <c r="J85" s="17"/>
      <c r="K85" s="18"/>
      <c r="L85" s="275"/>
    </row>
    <row r="86" spans="4:12" s="16" customFormat="1" ht="12.75" x14ac:dyDescent="0.25">
      <c r="D86" s="17"/>
      <c r="E86" s="17"/>
      <c r="F86" s="17"/>
      <c r="G86" s="166"/>
      <c r="H86" s="17"/>
      <c r="I86" s="17"/>
      <c r="J86" s="17"/>
      <c r="K86" s="18"/>
      <c r="L86" s="275"/>
    </row>
    <row r="87" spans="4:12" s="16" customFormat="1" ht="12.75" x14ac:dyDescent="0.25">
      <c r="D87" s="17"/>
      <c r="E87" s="17"/>
      <c r="F87" s="17"/>
      <c r="G87" s="166"/>
      <c r="H87" s="17"/>
      <c r="I87" s="17"/>
      <c r="J87" s="17"/>
      <c r="K87" s="18"/>
      <c r="L87" s="275"/>
    </row>
    <row r="88" spans="4:12" s="16" customFormat="1" ht="12.75" x14ac:dyDescent="0.25">
      <c r="D88" s="17"/>
      <c r="E88" s="17"/>
      <c r="F88" s="17"/>
      <c r="G88" s="166"/>
      <c r="H88" s="17"/>
      <c r="I88" s="17"/>
      <c r="J88" s="17"/>
      <c r="K88" s="18"/>
      <c r="L88" s="275"/>
    </row>
    <row r="89" spans="4:12" s="16" customFormat="1" ht="12.75" x14ac:dyDescent="0.25">
      <c r="D89" s="17"/>
      <c r="E89" s="17"/>
      <c r="F89" s="17"/>
      <c r="G89" s="166"/>
      <c r="H89" s="17"/>
      <c r="I89" s="17"/>
      <c r="J89" s="17"/>
      <c r="K89" s="18"/>
      <c r="L89" s="275"/>
    </row>
    <row r="90" spans="4:12" s="16" customFormat="1" ht="12.75" x14ac:dyDescent="0.25">
      <c r="D90" s="17"/>
      <c r="E90" s="17"/>
      <c r="F90" s="17"/>
      <c r="G90" s="166"/>
      <c r="H90" s="17"/>
      <c r="I90" s="17"/>
      <c r="J90" s="17"/>
      <c r="K90" s="18"/>
      <c r="L90" s="275"/>
    </row>
    <row r="91" spans="4:12" s="16" customFormat="1" ht="12.75" x14ac:dyDescent="0.25">
      <c r="D91" s="17"/>
      <c r="E91" s="17"/>
      <c r="F91" s="17"/>
      <c r="G91" s="166"/>
      <c r="H91" s="17"/>
      <c r="I91" s="17"/>
      <c r="J91" s="17"/>
      <c r="K91" s="18"/>
      <c r="L91" s="275"/>
    </row>
    <row r="92" spans="4:12" s="16" customFormat="1" ht="12.75" x14ac:dyDescent="0.25">
      <c r="D92" s="17"/>
      <c r="E92" s="17"/>
      <c r="F92" s="17"/>
      <c r="G92" s="166"/>
      <c r="H92" s="17"/>
      <c r="I92" s="17"/>
      <c r="J92" s="17"/>
      <c r="K92" s="18"/>
      <c r="L92" s="275"/>
    </row>
    <row r="93" spans="4:12" s="16" customFormat="1" ht="12.75" x14ac:dyDescent="0.25">
      <c r="D93" s="17"/>
      <c r="E93" s="17"/>
      <c r="F93" s="17"/>
      <c r="G93" s="166"/>
      <c r="H93" s="17"/>
      <c r="I93" s="17"/>
      <c r="J93" s="17"/>
      <c r="K93" s="18"/>
      <c r="L93" s="275"/>
    </row>
    <row r="94" spans="4:12" s="16" customFormat="1" ht="12.75" x14ac:dyDescent="0.25">
      <c r="D94" s="17"/>
      <c r="E94" s="17"/>
      <c r="F94" s="17"/>
      <c r="G94" s="166"/>
      <c r="H94" s="17"/>
      <c r="I94" s="17"/>
      <c r="J94" s="17"/>
      <c r="K94" s="18"/>
      <c r="L94" s="275"/>
    </row>
    <row r="95" spans="4:12" s="16" customFormat="1" ht="12.75" x14ac:dyDescent="0.25">
      <c r="D95" s="17"/>
      <c r="E95" s="17"/>
      <c r="F95" s="17"/>
      <c r="G95" s="166"/>
      <c r="H95" s="17"/>
      <c r="I95" s="17"/>
      <c r="J95" s="17"/>
      <c r="K95" s="18"/>
      <c r="L95" s="275"/>
    </row>
    <row r="96" spans="4:12" s="16" customFormat="1" ht="12.75" x14ac:dyDescent="0.25">
      <c r="D96" s="17"/>
      <c r="E96" s="17"/>
      <c r="F96" s="17"/>
      <c r="G96" s="166"/>
      <c r="H96" s="17"/>
      <c r="I96" s="17"/>
      <c r="J96" s="17"/>
      <c r="K96" s="18"/>
      <c r="L96" s="275"/>
    </row>
    <row r="97" spans="4:12" s="16" customFormat="1" ht="12.75" x14ac:dyDescent="0.25">
      <c r="D97" s="17"/>
      <c r="E97" s="17"/>
      <c r="F97" s="17"/>
      <c r="G97" s="166"/>
      <c r="H97" s="17"/>
      <c r="I97" s="17"/>
      <c r="J97" s="17"/>
      <c r="K97" s="18"/>
      <c r="L97" s="275"/>
    </row>
    <row r="98" spans="4:12" s="16" customFormat="1" ht="12.75" x14ac:dyDescent="0.25">
      <c r="D98" s="17"/>
      <c r="E98" s="17"/>
      <c r="F98" s="17"/>
      <c r="G98" s="166"/>
      <c r="H98" s="17"/>
      <c r="I98" s="17"/>
      <c r="J98" s="17"/>
      <c r="K98" s="18"/>
      <c r="L98" s="275"/>
    </row>
    <row r="99" spans="4:12" s="16" customFormat="1" ht="12.75" x14ac:dyDescent="0.25">
      <c r="D99" s="17"/>
      <c r="E99" s="17"/>
      <c r="F99" s="17"/>
      <c r="G99" s="166"/>
      <c r="H99" s="17"/>
      <c r="I99" s="17"/>
      <c r="J99" s="17"/>
      <c r="K99" s="18"/>
      <c r="L99" s="275"/>
    </row>
    <row r="100" spans="4:12" s="16" customFormat="1" ht="12.75" x14ac:dyDescent="0.25">
      <c r="D100" s="17"/>
      <c r="E100" s="17"/>
      <c r="F100" s="17"/>
      <c r="G100" s="166"/>
      <c r="H100" s="17"/>
      <c r="I100" s="17"/>
      <c r="J100" s="17"/>
      <c r="K100" s="18"/>
      <c r="L100" s="275"/>
    </row>
    <row r="101" spans="4:12" s="16" customFormat="1" ht="12.75" x14ac:dyDescent="0.25">
      <c r="D101" s="17"/>
      <c r="E101" s="17"/>
      <c r="F101" s="17"/>
      <c r="G101" s="166"/>
      <c r="H101" s="17"/>
      <c r="I101" s="17"/>
      <c r="J101" s="17"/>
      <c r="K101" s="18"/>
      <c r="L101" s="275"/>
    </row>
    <row r="102" spans="4:12" s="16" customFormat="1" ht="12.75" x14ac:dyDescent="0.25">
      <c r="D102" s="17"/>
      <c r="E102" s="17"/>
      <c r="F102" s="17"/>
      <c r="G102" s="166"/>
      <c r="H102" s="17"/>
      <c r="I102" s="17"/>
      <c r="J102" s="17"/>
      <c r="K102" s="18"/>
      <c r="L102" s="275"/>
    </row>
    <row r="103" spans="4:12" s="16" customFormat="1" ht="12.75" x14ac:dyDescent="0.25">
      <c r="D103" s="17"/>
      <c r="E103" s="17"/>
      <c r="F103" s="17"/>
      <c r="G103" s="166"/>
      <c r="H103" s="17"/>
      <c r="I103" s="17"/>
      <c r="J103" s="17"/>
      <c r="K103" s="18"/>
      <c r="L103" s="275"/>
    </row>
    <row r="104" spans="4:12" s="16" customFormat="1" ht="12.75" x14ac:dyDescent="0.25">
      <c r="D104" s="17"/>
      <c r="E104" s="17"/>
      <c r="F104" s="17"/>
      <c r="G104" s="166"/>
      <c r="H104" s="17"/>
      <c r="I104" s="17"/>
      <c r="J104" s="17"/>
      <c r="K104" s="18"/>
      <c r="L104" s="275"/>
    </row>
    <row r="105" spans="4:12" s="16" customFormat="1" ht="12.75" x14ac:dyDescent="0.25">
      <c r="D105" s="17"/>
      <c r="E105" s="17"/>
      <c r="F105" s="17"/>
      <c r="G105" s="166"/>
      <c r="H105" s="17"/>
      <c r="I105" s="17"/>
      <c r="J105" s="17"/>
      <c r="K105" s="18"/>
      <c r="L105" s="275"/>
    </row>
    <row r="106" spans="4:12" s="16" customFormat="1" ht="12.75" x14ac:dyDescent="0.25">
      <c r="D106" s="17"/>
      <c r="E106" s="17"/>
      <c r="F106" s="17"/>
      <c r="G106" s="166"/>
      <c r="H106" s="17"/>
      <c r="I106" s="17"/>
      <c r="J106" s="17"/>
      <c r="K106" s="18"/>
      <c r="L106" s="275"/>
    </row>
    <row r="107" spans="4:12" s="16" customFormat="1" ht="12.75" x14ac:dyDescent="0.25">
      <c r="D107" s="17"/>
      <c r="E107" s="17"/>
      <c r="F107" s="17"/>
      <c r="G107" s="166"/>
      <c r="H107" s="17"/>
      <c r="I107" s="17"/>
      <c r="J107" s="17"/>
      <c r="K107" s="18"/>
      <c r="L107" s="275"/>
    </row>
    <row r="108" spans="4:12" s="16" customFormat="1" ht="12.75" x14ac:dyDescent="0.25">
      <c r="D108" s="17"/>
      <c r="E108" s="17"/>
      <c r="F108" s="17"/>
      <c r="G108" s="166"/>
      <c r="H108" s="17"/>
      <c r="I108" s="17"/>
      <c r="J108" s="17"/>
      <c r="K108" s="18"/>
      <c r="L108" s="275"/>
    </row>
    <row r="109" spans="4:12" s="16" customFormat="1" ht="12.75" x14ac:dyDescent="0.25">
      <c r="D109" s="17"/>
      <c r="E109" s="17"/>
      <c r="F109" s="17"/>
      <c r="G109" s="166"/>
      <c r="H109" s="17"/>
      <c r="I109" s="17"/>
      <c r="J109" s="17"/>
      <c r="K109" s="18"/>
      <c r="L109" s="275"/>
    </row>
    <row r="110" spans="4:12" s="16" customFormat="1" ht="12.75" x14ac:dyDescent="0.25">
      <c r="D110" s="17"/>
      <c r="E110" s="17"/>
      <c r="F110" s="17"/>
      <c r="G110" s="166"/>
      <c r="H110" s="17"/>
      <c r="I110" s="17"/>
      <c r="J110" s="17"/>
      <c r="K110" s="18"/>
      <c r="L110" s="275"/>
    </row>
    <row r="111" spans="4:12" s="16" customFormat="1" ht="12.75" x14ac:dyDescent="0.25">
      <c r="D111" s="17"/>
      <c r="E111" s="17"/>
      <c r="F111" s="17"/>
      <c r="G111" s="166"/>
      <c r="H111" s="17"/>
      <c r="I111" s="17"/>
      <c r="J111" s="17"/>
      <c r="K111" s="18"/>
      <c r="L111" s="275"/>
    </row>
    <row r="112" spans="4:12" s="16" customFormat="1" ht="12.75" x14ac:dyDescent="0.25">
      <c r="D112" s="17"/>
      <c r="E112" s="17"/>
      <c r="F112" s="17"/>
      <c r="G112" s="166"/>
      <c r="H112" s="17"/>
      <c r="I112" s="17"/>
      <c r="J112" s="17"/>
      <c r="K112" s="18"/>
      <c r="L112" s="275"/>
    </row>
    <row r="113" spans="1:12" s="16" customFormat="1" ht="12.75" x14ac:dyDescent="0.25">
      <c r="D113" s="17"/>
      <c r="E113" s="17"/>
      <c r="F113" s="17"/>
      <c r="G113" s="166"/>
      <c r="H113" s="17"/>
      <c r="I113" s="17"/>
      <c r="J113" s="17"/>
      <c r="K113" s="18"/>
      <c r="L113" s="275"/>
    </row>
    <row r="114" spans="1:12" s="16" customFormat="1" ht="12.75" x14ac:dyDescent="0.25">
      <c r="D114" s="17"/>
      <c r="E114" s="17"/>
      <c r="F114" s="17"/>
      <c r="G114" s="166"/>
      <c r="H114" s="17"/>
      <c r="I114" s="17"/>
      <c r="J114" s="17"/>
      <c r="K114" s="18"/>
      <c r="L114" s="275"/>
    </row>
    <row r="115" spans="1:12" s="16" customFormat="1" ht="12.75" x14ac:dyDescent="0.25">
      <c r="D115" s="17"/>
      <c r="E115" s="17"/>
      <c r="F115" s="17"/>
      <c r="G115" s="166"/>
      <c r="H115" s="17"/>
      <c r="I115" s="17"/>
      <c r="J115" s="17"/>
      <c r="K115" s="18"/>
      <c r="L115" s="275"/>
    </row>
    <row r="116" spans="1:12" s="16" customFormat="1" ht="12.75" x14ac:dyDescent="0.25">
      <c r="D116" s="17"/>
      <c r="E116" s="17"/>
      <c r="F116" s="17"/>
      <c r="G116" s="166"/>
      <c r="H116" s="17"/>
      <c r="I116" s="17"/>
      <c r="J116" s="17"/>
      <c r="K116" s="18"/>
      <c r="L116" s="275"/>
    </row>
    <row r="117" spans="1:12" s="16" customFormat="1" ht="12.75" x14ac:dyDescent="0.25">
      <c r="D117" s="17"/>
      <c r="E117" s="17"/>
      <c r="F117" s="17"/>
      <c r="G117" s="166"/>
      <c r="H117" s="17"/>
      <c r="I117" s="17"/>
      <c r="J117" s="17"/>
      <c r="K117" s="18"/>
      <c r="L117" s="275"/>
    </row>
    <row r="118" spans="1:12" s="16" customFormat="1" ht="12.75" x14ac:dyDescent="0.25">
      <c r="D118" s="17"/>
      <c r="E118" s="17"/>
      <c r="F118" s="17"/>
      <c r="G118" s="166"/>
      <c r="H118" s="17"/>
      <c r="I118" s="17"/>
      <c r="J118" s="17"/>
      <c r="K118" s="18"/>
      <c r="L118" s="275"/>
    </row>
    <row r="119" spans="1:12" s="16" customFormat="1" ht="12.75" x14ac:dyDescent="0.25">
      <c r="D119" s="17"/>
      <c r="E119" s="17"/>
      <c r="F119" s="17"/>
      <c r="G119" s="166"/>
      <c r="H119" s="17"/>
      <c r="I119" s="17"/>
      <c r="J119" s="17"/>
      <c r="K119" s="18"/>
      <c r="L119" s="275"/>
    </row>
    <row r="120" spans="1:12" s="16" customFormat="1" ht="12.75" x14ac:dyDescent="0.25">
      <c r="D120" s="17"/>
      <c r="E120" s="17"/>
      <c r="F120" s="17"/>
      <c r="G120" s="166"/>
      <c r="H120" s="17"/>
      <c r="I120" s="17"/>
      <c r="J120" s="17"/>
      <c r="K120" s="18"/>
      <c r="L120" s="275"/>
    </row>
    <row r="121" spans="1:12" s="16" customFormat="1" ht="12.75" x14ac:dyDescent="0.25">
      <c r="D121" s="17"/>
      <c r="E121" s="17"/>
      <c r="F121" s="17"/>
      <c r="G121" s="166"/>
      <c r="H121" s="17"/>
      <c r="I121" s="17"/>
      <c r="J121" s="17"/>
      <c r="K121" s="18"/>
      <c r="L121" s="275"/>
    </row>
    <row r="122" spans="1:12" s="16" customFormat="1" ht="12.75" x14ac:dyDescent="0.25">
      <c r="D122" s="17"/>
      <c r="E122" s="17"/>
      <c r="F122" s="17"/>
      <c r="G122" s="166"/>
      <c r="H122" s="17"/>
      <c r="I122" s="17"/>
      <c r="J122" s="17"/>
      <c r="K122" s="18"/>
      <c r="L122" s="275"/>
    </row>
    <row r="123" spans="1:12" s="16" customFormat="1" ht="36.75" thickBot="1" x14ac:dyDescent="0.3">
      <c r="A123" s="23"/>
      <c r="B123" s="23"/>
      <c r="C123" s="23"/>
      <c r="D123" s="23"/>
      <c r="E123" s="23"/>
      <c r="F123" s="23"/>
      <c r="G123" s="167"/>
      <c r="H123" s="23"/>
      <c r="I123" s="23"/>
      <c r="J123" s="23"/>
      <c r="K123" s="23"/>
      <c r="L123" s="275"/>
    </row>
    <row r="124" spans="1:12" s="16" customFormat="1" ht="46.5" x14ac:dyDescent="0.25">
      <c r="A124" s="287" t="str">
        <f>I137</f>
        <v>NÃO DESONERADO</v>
      </c>
      <c r="B124" s="288"/>
      <c r="C124" s="288"/>
      <c r="D124" s="288"/>
      <c r="E124" s="288"/>
      <c r="F124" s="288"/>
      <c r="G124" s="288"/>
      <c r="H124" s="288"/>
      <c r="I124" s="288"/>
      <c r="J124" s="288"/>
      <c r="K124" s="289"/>
      <c r="L124" s="275"/>
    </row>
    <row r="125" spans="1:12" s="16" customFormat="1" ht="47.25" thickBot="1" x14ac:dyDescent="0.3">
      <c r="A125" s="292" t="s">
        <v>478</v>
      </c>
      <c r="B125" s="293"/>
      <c r="C125" s="293"/>
      <c r="D125" s="293"/>
      <c r="E125" s="293"/>
      <c r="F125" s="293"/>
      <c r="G125" s="293"/>
      <c r="H125" s="293"/>
      <c r="I125" s="293"/>
      <c r="J125" s="293"/>
      <c r="K125" s="294"/>
      <c r="L125" s="275"/>
    </row>
    <row r="126" spans="1:12" s="16" customFormat="1" ht="19.5" thickBot="1" x14ac:dyDescent="0.3">
      <c r="A126" s="27" t="s">
        <v>474</v>
      </c>
      <c r="B126" s="20"/>
      <c r="C126" s="20"/>
      <c r="D126" s="24" t="s">
        <v>475</v>
      </c>
      <c r="E126" s="20"/>
      <c r="F126" s="20"/>
      <c r="G126" s="168"/>
      <c r="H126" s="20"/>
      <c r="I126" s="20"/>
      <c r="J126" s="30"/>
      <c r="K126" s="19" t="s">
        <v>476</v>
      </c>
      <c r="L126" s="275"/>
    </row>
    <row r="127" spans="1:12" s="16" customFormat="1" ht="15.75" x14ac:dyDescent="0.25">
      <c r="A127" s="26">
        <v>0</v>
      </c>
      <c r="B127" s="21"/>
      <c r="C127" s="21"/>
      <c r="D127" s="28" t="s">
        <v>477</v>
      </c>
      <c r="E127" s="21"/>
      <c r="F127" s="21"/>
      <c r="G127" s="169"/>
      <c r="H127" s="21"/>
      <c r="I127" s="21"/>
      <c r="J127" s="31"/>
      <c r="K127" s="186" t="s">
        <v>2296</v>
      </c>
      <c r="L127" s="275"/>
    </row>
    <row r="128" spans="1:12" s="16" customFormat="1" ht="15.75" x14ac:dyDescent="0.25">
      <c r="A128" s="187">
        <v>1</v>
      </c>
      <c r="B128" s="22"/>
      <c r="C128" s="22"/>
      <c r="D128" s="185" t="s">
        <v>1437</v>
      </c>
      <c r="E128" s="22"/>
      <c r="F128" s="22"/>
      <c r="G128" s="170"/>
      <c r="H128" s="22"/>
      <c r="I128" s="22"/>
      <c r="J128" s="32"/>
      <c r="K128" s="186"/>
      <c r="L128" s="275"/>
    </row>
    <row r="129" spans="1:12" s="16" customFormat="1" ht="15.75" x14ac:dyDescent="0.25">
      <c r="A129" s="187">
        <v>2</v>
      </c>
      <c r="B129" s="22"/>
      <c r="C129" s="22"/>
      <c r="D129" s="185" t="s">
        <v>1437</v>
      </c>
      <c r="E129" s="22"/>
      <c r="F129" s="22"/>
      <c r="G129" s="170"/>
      <c r="H129" s="22"/>
      <c r="I129" s="22"/>
      <c r="J129" s="32"/>
      <c r="K129" s="186"/>
      <c r="L129" s="275"/>
    </row>
    <row r="130" spans="1:12" s="16" customFormat="1" ht="15.75" x14ac:dyDescent="0.25">
      <c r="A130" s="187">
        <v>3</v>
      </c>
      <c r="B130" s="22"/>
      <c r="C130" s="22"/>
      <c r="D130" s="185" t="s">
        <v>1437</v>
      </c>
      <c r="E130" s="22"/>
      <c r="F130" s="22"/>
      <c r="G130" s="170"/>
      <c r="H130" s="22"/>
      <c r="I130" s="22"/>
      <c r="J130" s="32"/>
      <c r="K130" s="186"/>
      <c r="L130" s="275"/>
    </row>
    <row r="131" spans="1:12" s="16" customFormat="1" ht="39" x14ac:dyDescent="0.25">
      <c r="A131" s="290" t="s">
        <v>1435</v>
      </c>
      <c r="B131" s="290"/>
      <c r="C131" s="290"/>
      <c r="D131" s="290"/>
      <c r="E131" s="290"/>
      <c r="F131" s="290"/>
      <c r="G131" s="290"/>
      <c r="H131" s="290"/>
      <c r="I131" s="290"/>
      <c r="J131" s="290"/>
      <c r="K131" s="290"/>
      <c r="L131" s="275"/>
    </row>
    <row r="132" spans="1:12" s="16" customFormat="1" ht="18.75" x14ac:dyDescent="0.25">
      <c r="A132" s="291" t="s">
        <v>609</v>
      </c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75"/>
    </row>
    <row r="133" spans="1:12" s="16" customFormat="1" ht="28.5" x14ac:dyDescent="0.25">
      <c r="A133" s="286" t="s">
        <v>2297</v>
      </c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75"/>
    </row>
    <row r="134" spans="1:12" s="16" customFormat="1" ht="28.5" x14ac:dyDescent="0.25">
      <c r="A134" s="35"/>
      <c r="B134" s="35"/>
      <c r="C134" s="35"/>
      <c r="D134" s="35"/>
      <c r="E134" s="25" t="str">
        <f>I137</f>
        <v>NÃO DESONERADO</v>
      </c>
      <c r="F134" s="35"/>
      <c r="G134" s="171"/>
      <c r="H134" s="35"/>
      <c r="I134" s="35"/>
      <c r="J134" s="35"/>
      <c r="K134" s="35"/>
      <c r="L134" s="275"/>
    </row>
    <row r="135" spans="1:12" s="16" customFormat="1" ht="29.25" thickBot="1" x14ac:dyDescent="0.3">
      <c r="A135" s="29"/>
      <c r="B135" s="295"/>
      <c r="C135" s="295"/>
      <c r="D135" s="295"/>
      <c r="E135" s="36" t="s">
        <v>478</v>
      </c>
      <c r="F135" s="29"/>
      <c r="G135" s="172"/>
      <c r="H135" s="29"/>
      <c r="I135" s="29"/>
      <c r="J135" s="29"/>
      <c r="K135" s="29"/>
      <c r="L135" s="275"/>
    </row>
    <row r="136" spans="1:12" s="16" customFormat="1" ht="27" thickBot="1" x14ac:dyDescent="0.3">
      <c r="A136" s="304" t="s">
        <v>2306</v>
      </c>
      <c r="B136" s="305"/>
      <c r="C136" s="305"/>
      <c r="D136" s="305"/>
      <c r="E136" s="305"/>
      <c r="F136" s="305"/>
      <c r="G136" s="305"/>
      <c r="H136" s="305"/>
      <c r="I136" s="305"/>
      <c r="J136" s="305"/>
      <c r="K136" s="306"/>
      <c r="L136" s="275"/>
    </row>
    <row r="137" spans="1:12" x14ac:dyDescent="0.25">
      <c r="A137" s="319" t="s">
        <v>0</v>
      </c>
      <c r="B137" s="320"/>
      <c r="C137" s="320"/>
      <c r="D137" s="320"/>
      <c r="E137" s="320"/>
      <c r="F137" s="320"/>
      <c r="G137" s="320"/>
      <c r="H137" s="323" t="s">
        <v>2067</v>
      </c>
      <c r="I137" s="325" t="s">
        <v>403</v>
      </c>
      <c r="J137" s="326"/>
      <c r="K137" s="327"/>
    </row>
    <row r="138" spans="1:12" ht="20.25" customHeight="1" x14ac:dyDescent="0.25">
      <c r="A138" s="321"/>
      <c r="B138" s="322"/>
      <c r="C138" s="322"/>
      <c r="D138" s="322"/>
      <c r="E138" s="322"/>
      <c r="F138" s="322"/>
      <c r="G138" s="322"/>
      <c r="H138" s="324"/>
      <c r="I138" s="328"/>
      <c r="J138" s="329"/>
      <c r="K138" s="330"/>
    </row>
    <row r="139" spans="1:12" ht="14.45" customHeight="1" x14ac:dyDescent="0.25">
      <c r="A139" s="2" t="s">
        <v>2</v>
      </c>
      <c r="B139" s="296" t="s">
        <v>3</v>
      </c>
      <c r="C139" s="297"/>
      <c r="D139" s="297"/>
      <c r="E139" s="297"/>
      <c r="F139" s="297"/>
      <c r="G139" s="298"/>
      <c r="H139" s="307" t="s">
        <v>7</v>
      </c>
      <c r="I139" s="310" t="s">
        <v>8</v>
      </c>
      <c r="J139" s="311"/>
      <c r="K139" s="314">
        <v>1.1397999999999999</v>
      </c>
    </row>
    <row r="140" spans="1:12" ht="14.45" customHeight="1" x14ac:dyDescent="0.25">
      <c r="A140" s="2" t="s">
        <v>4</v>
      </c>
      <c r="B140" s="3" t="s">
        <v>5</v>
      </c>
      <c r="C140" s="4"/>
      <c r="D140" s="4"/>
      <c r="E140" s="4"/>
      <c r="F140" s="4"/>
      <c r="G140" s="173"/>
      <c r="H140" s="308"/>
      <c r="I140" s="312"/>
      <c r="J140" s="313"/>
      <c r="K140" s="315"/>
    </row>
    <row r="141" spans="1:12" ht="14.45" customHeight="1" x14ac:dyDescent="0.25">
      <c r="A141" s="2" t="s">
        <v>6</v>
      </c>
      <c r="B141" s="299" t="s">
        <v>2293</v>
      </c>
      <c r="C141" s="300"/>
      <c r="D141" s="300"/>
      <c r="E141" s="300"/>
      <c r="F141" s="300"/>
      <c r="G141" s="301"/>
      <c r="H141" s="308"/>
      <c r="I141" s="310" t="s">
        <v>10</v>
      </c>
      <c r="J141" s="316"/>
      <c r="K141" s="314">
        <v>0.7</v>
      </c>
    </row>
    <row r="142" spans="1:12" ht="15" customHeight="1" thickBot="1" x14ac:dyDescent="0.3">
      <c r="A142" s="2" t="s">
        <v>9</v>
      </c>
      <c r="B142" s="302" t="s">
        <v>2273</v>
      </c>
      <c r="C142" s="302"/>
      <c r="D142" s="302"/>
      <c r="E142" s="302"/>
      <c r="F142" s="302"/>
      <c r="G142" s="303"/>
      <c r="H142" s="309"/>
      <c r="I142" s="317"/>
      <c r="J142" s="318"/>
      <c r="K142" s="315"/>
    </row>
    <row r="143" spans="1:12" ht="5.25" customHeight="1" x14ac:dyDescent="0.25">
      <c r="A143" s="277"/>
      <c r="B143" s="278"/>
      <c r="C143" s="278"/>
      <c r="D143" s="278"/>
      <c r="E143" s="279"/>
      <c r="F143" s="278"/>
      <c r="G143" s="278"/>
      <c r="H143" s="278"/>
      <c r="I143" s="278"/>
      <c r="J143" s="280"/>
      <c r="K143" s="280"/>
      <c r="L143" s="283"/>
    </row>
    <row r="144" spans="1:12" s="10" customFormat="1" ht="27.75" customHeight="1" x14ac:dyDescent="0.25">
      <c r="A144" s="5" t="s">
        <v>11</v>
      </c>
      <c r="B144" s="6" t="s">
        <v>12</v>
      </c>
      <c r="C144" s="6" t="s">
        <v>13</v>
      </c>
      <c r="D144" s="6" t="s">
        <v>402</v>
      </c>
      <c r="E144" s="6" t="s">
        <v>14</v>
      </c>
      <c r="F144" s="6" t="s">
        <v>15</v>
      </c>
      <c r="G144" s="7" t="s">
        <v>16</v>
      </c>
      <c r="H144" s="8" t="s">
        <v>2258</v>
      </c>
      <c r="I144" s="8" t="s">
        <v>17</v>
      </c>
      <c r="J144" s="9" t="s">
        <v>18</v>
      </c>
      <c r="K144" s="281" t="s">
        <v>479</v>
      </c>
      <c r="L144" s="284" t="s">
        <v>2274</v>
      </c>
    </row>
    <row r="145" spans="1:12" s="10" customFormat="1" ht="14.25" customHeight="1" x14ac:dyDescent="0.25">
      <c r="A145" s="34">
        <v>1</v>
      </c>
      <c r="B145" s="174"/>
      <c r="C145" s="383" t="s">
        <v>2165</v>
      </c>
      <c r="D145" s="383" t="s">
        <v>2165</v>
      </c>
      <c r="E145" s="384" t="s">
        <v>482</v>
      </c>
      <c r="F145" s="174"/>
      <c r="G145" s="175"/>
      <c r="H145" s="385" t="s">
        <v>2165</v>
      </c>
      <c r="I145" s="386" t="s">
        <v>2165</v>
      </c>
      <c r="J145" s="387" t="s">
        <v>2165</v>
      </c>
      <c r="K145" s="282"/>
      <c r="L145" s="285"/>
    </row>
    <row r="146" spans="1:12" ht="30" x14ac:dyDescent="0.25">
      <c r="A146" s="375" t="s">
        <v>610</v>
      </c>
      <c r="B146" s="376" t="s">
        <v>610</v>
      </c>
      <c r="C146" s="370" t="s">
        <v>2165</v>
      </c>
      <c r="D146" s="370" t="s">
        <v>2165</v>
      </c>
      <c r="E146" s="371" t="s">
        <v>19</v>
      </c>
      <c r="F146" s="376" t="s">
        <v>20</v>
      </c>
      <c r="G146" s="377"/>
      <c r="H146" s="372" t="s">
        <v>2165</v>
      </c>
      <c r="I146" s="373" t="s">
        <v>2165</v>
      </c>
      <c r="J146" s="374">
        <v>112.12</v>
      </c>
      <c r="K146" s="378">
        <v>7001010001</v>
      </c>
      <c r="L146" s="379">
        <v>0</v>
      </c>
    </row>
    <row r="147" spans="1:12" x14ac:dyDescent="0.25">
      <c r="A147" s="375" t="s">
        <v>2305</v>
      </c>
      <c r="B147" s="376" t="s">
        <v>611</v>
      </c>
      <c r="C147" s="370" t="s">
        <v>2165</v>
      </c>
      <c r="D147" s="370" t="s">
        <v>2165</v>
      </c>
      <c r="E147" s="371" t="s">
        <v>1438</v>
      </c>
      <c r="F147" s="376" t="s">
        <v>20</v>
      </c>
      <c r="G147" s="377"/>
      <c r="H147" s="372" t="s">
        <v>2165</v>
      </c>
      <c r="I147" s="373" t="s">
        <v>2165</v>
      </c>
      <c r="J147" s="374">
        <v>100.17000000000002</v>
      </c>
      <c r="K147" s="378">
        <v>7001010335</v>
      </c>
      <c r="L147" s="379">
        <v>0</v>
      </c>
    </row>
    <row r="148" spans="1:12" ht="30" x14ac:dyDescent="0.25">
      <c r="A148" s="375" t="s">
        <v>612</v>
      </c>
      <c r="B148" s="376" t="s">
        <v>612</v>
      </c>
      <c r="C148" s="370" t="s">
        <v>2165</v>
      </c>
      <c r="D148" s="370" t="s">
        <v>2165</v>
      </c>
      <c r="E148" s="371" t="s">
        <v>2275</v>
      </c>
      <c r="F148" s="376" t="s">
        <v>23</v>
      </c>
      <c r="G148" s="377"/>
      <c r="H148" s="372" t="s">
        <v>2165</v>
      </c>
      <c r="I148" s="373" t="s">
        <v>2165</v>
      </c>
      <c r="J148" s="374">
        <v>102.30000000000001</v>
      </c>
      <c r="K148" s="378">
        <v>7001010663</v>
      </c>
      <c r="L148" s="379">
        <v>0</v>
      </c>
    </row>
    <row r="149" spans="1:12" x14ac:dyDescent="0.25">
      <c r="A149" s="375" t="s">
        <v>613</v>
      </c>
      <c r="B149" s="376" t="s">
        <v>613</v>
      </c>
      <c r="C149" s="370" t="s">
        <v>2165</v>
      </c>
      <c r="D149" s="370" t="s">
        <v>2165</v>
      </c>
      <c r="E149" s="371" t="s">
        <v>2276</v>
      </c>
      <c r="F149" s="376" t="s">
        <v>28</v>
      </c>
      <c r="G149" s="377"/>
      <c r="H149" s="372" t="s">
        <v>2165</v>
      </c>
      <c r="I149" s="373" t="s">
        <v>2165</v>
      </c>
      <c r="J149" s="374">
        <v>2.08</v>
      </c>
      <c r="K149" s="378">
        <v>7002021068</v>
      </c>
      <c r="L149" s="379">
        <v>0</v>
      </c>
    </row>
    <row r="150" spans="1:12" s="182" customFormat="1" ht="30" x14ac:dyDescent="0.25">
      <c r="A150" s="375" t="s">
        <v>2046</v>
      </c>
      <c r="B150" s="376" t="s">
        <v>2046</v>
      </c>
      <c r="C150" s="370" t="s">
        <v>2165</v>
      </c>
      <c r="D150" s="370" t="s">
        <v>2165</v>
      </c>
      <c r="E150" s="371" t="s">
        <v>2285</v>
      </c>
      <c r="F150" s="376" t="s">
        <v>20</v>
      </c>
      <c r="G150" s="377"/>
      <c r="H150" s="372" t="s">
        <v>2165</v>
      </c>
      <c r="I150" s="373" t="s">
        <v>2165</v>
      </c>
      <c r="J150" s="374">
        <v>60.290000000000006</v>
      </c>
      <c r="K150" s="378">
        <v>7002021069</v>
      </c>
      <c r="L150" s="379">
        <v>0</v>
      </c>
    </row>
    <row r="151" spans="1:12" ht="30" x14ac:dyDescent="0.25">
      <c r="A151" s="375" t="s">
        <v>2279</v>
      </c>
      <c r="B151" s="375" t="s">
        <v>2279</v>
      </c>
      <c r="C151" s="370" t="s">
        <v>2165</v>
      </c>
      <c r="D151" s="370" t="s">
        <v>2165</v>
      </c>
      <c r="E151" s="371" t="s">
        <v>2281</v>
      </c>
      <c r="F151" s="376" t="s">
        <v>23</v>
      </c>
      <c r="G151" s="377"/>
      <c r="H151" s="372" t="s">
        <v>2165</v>
      </c>
      <c r="I151" s="373" t="s">
        <v>2165</v>
      </c>
      <c r="J151" s="374">
        <v>55.58</v>
      </c>
      <c r="K151" s="378">
        <v>7001010660</v>
      </c>
      <c r="L151" s="379">
        <v>0</v>
      </c>
    </row>
    <row r="152" spans="1:12" x14ac:dyDescent="0.25">
      <c r="A152" s="375" t="s">
        <v>2280</v>
      </c>
      <c r="B152" s="375" t="s">
        <v>2280</v>
      </c>
      <c r="C152" s="370" t="s">
        <v>2165</v>
      </c>
      <c r="D152" s="370" t="s">
        <v>2165</v>
      </c>
      <c r="E152" s="371" t="s">
        <v>2282</v>
      </c>
      <c r="F152" s="376" t="s">
        <v>28</v>
      </c>
      <c r="G152" s="377"/>
      <c r="H152" s="372" t="s">
        <v>2165</v>
      </c>
      <c r="I152" s="373" t="s">
        <v>2165</v>
      </c>
      <c r="J152" s="374">
        <v>2.08</v>
      </c>
      <c r="K152" s="378">
        <v>7002021070</v>
      </c>
      <c r="L152" s="379">
        <v>0</v>
      </c>
    </row>
    <row r="153" spans="1:12" s="10" customFormat="1" x14ac:dyDescent="0.25">
      <c r="A153" s="34">
        <v>2</v>
      </c>
      <c r="B153" s="174" t="s">
        <v>2165</v>
      </c>
      <c r="C153" s="383" t="s">
        <v>2165</v>
      </c>
      <c r="D153" s="383" t="s">
        <v>2165</v>
      </c>
      <c r="E153" s="384" t="s">
        <v>483</v>
      </c>
      <c r="F153" s="174"/>
      <c r="G153" s="175"/>
      <c r="H153" s="385" t="s">
        <v>2165</v>
      </c>
      <c r="I153" s="386" t="s">
        <v>2165</v>
      </c>
      <c r="J153" s="387" t="s">
        <v>2165</v>
      </c>
      <c r="K153" s="282" t="s">
        <v>2165</v>
      </c>
      <c r="L153" s="285" t="s">
        <v>2165</v>
      </c>
    </row>
    <row r="154" spans="1:12" ht="30" x14ac:dyDescent="0.25">
      <c r="A154" s="375" t="s">
        <v>614</v>
      </c>
      <c r="B154" s="376" t="s">
        <v>614</v>
      </c>
      <c r="C154" s="370" t="s">
        <v>2165</v>
      </c>
      <c r="D154" s="370" t="s">
        <v>2165</v>
      </c>
      <c r="E154" s="371" t="s">
        <v>1439</v>
      </c>
      <c r="F154" s="376" t="s">
        <v>29</v>
      </c>
      <c r="G154" s="377"/>
      <c r="H154" s="372" t="s">
        <v>2165</v>
      </c>
      <c r="I154" s="373" t="s">
        <v>2165</v>
      </c>
      <c r="J154" s="374">
        <v>276.67</v>
      </c>
      <c r="K154" s="378">
        <v>7001010216</v>
      </c>
      <c r="L154" s="379">
        <v>0</v>
      </c>
    </row>
    <row r="155" spans="1:12" ht="45" x14ac:dyDescent="0.25">
      <c r="A155" s="375" t="s">
        <v>615</v>
      </c>
      <c r="B155" s="376" t="s">
        <v>615</v>
      </c>
      <c r="C155" s="370" t="s">
        <v>2165</v>
      </c>
      <c r="D155" s="370" t="s">
        <v>2165</v>
      </c>
      <c r="E155" s="371" t="s">
        <v>1440</v>
      </c>
      <c r="F155" s="376" t="s">
        <v>23</v>
      </c>
      <c r="G155" s="377"/>
      <c r="H155" s="372" t="s">
        <v>2165</v>
      </c>
      <c r="I155" s="373" t="s">
        <v>2165</v>
      </c>
      <c r="J155" s="374">
        <v>9.43</v>
      </c>
      <c r="K155" s="378">
        <v>7001010294</v>
      </c>
      <c r="L155" s="379">
        <v>0</v>
      </c>
    </row>
    <row r="156" spans="1:12" s="182" customFormat="1" ht="30" x14ac:dyDescent="0.25">
      <c r="A156" s="375" t="s">
        <v>616</v>
      </c>
      <c r="B156" s="376" t="s">
        <v>616</v>
      </c>
      <c r="C156" s="370" t="s">
        <v>2165</v>
      </c>
      <c r="D156" s="370" t="s">
        <v>2165</v>
      </c>
      <c r="E156" s="371" t="s">
        <v>1441</v>
      </c>
      <c r="F156" s="376" t="s">
        <v>23</v>
      </c>
      <c r="G156" s="377"/>
      <c r="H156" s="372" t="s">
        <v>2165</v>
      </c>
      <c r="I156" s="373" t="s">
        <v>2165</v>
      </c>
      <c r="J156" s="374">
        <v>6.3000000000000007</v>
      </c>
      <c r="K156" s="378">
        <v>7001010296</v>
      </c>
      <c r="L156" s="379">
        <v>0</v>
      </c>
    </row>
    <row r="157" spans="1:12" ht="30" x14ac:dyDescent="0.25">
      <c r="A157" s="375" t="s">
        <v>617</v>
      </c>
      <c r="B157" s="376" t="s">
        <v>617</v>
      </c>
      <c r="C157" s="370" t="s">
        <v>2165</v>
      </c>
      <c r="D157" s="370" t="s">
        <v>2165</v>
      </c>
      <c r="E157" s="371" t="s">
        <v>1442</v>
      </c>
      <c r="F157" s="376" t="s">
        <v>20</v>
      </c>
      <c r="G157" s="377"/>
      <c r="H157" s="372" t="s">
        <v>2165</v>
      </c>
      <c r="I157" s="373" t="s">
        <v>2165</v>
      </c>
      <c r="J157" s="374">
        <v>1.33</v>
      </c>
      <c r="K157" s="378">
        <v>7001010297</v>
      </c>
      <c r="L157" s="379">
        <v>0</v>
      </c>
    </row>
    <row r="158" spans="1:12" ht="30" x14ac:dyDescent="0.25">
      <c r="A158" s="375" t="s">
        <v>618</v>
      </c>
      <c r="B158" s="376" t="s">
        <v>618</v>
      </c>
      <c r="C158" s="370" t="s">
        <v>2165</v>
      </c>
      <c r="D158" s="370" t="s">
        <v>2165</v>
      </c>
      <c r="E158" s="371" t="s">
        <v>1443</v>
      </c>
      <c r="F158" s="376" t="s">
        <v>20</v>
      </c>
      <c r="G158" s="377"/>
      <c r="H158" s="372" t="s">
        <v>2165</v>
      </c>
      <c r="I158" s="373" t="s">
        <v>2165</v>
      </c>
      <c r="J158" s="374">
        <v>1.42</v>
      </c>
      <c r="K158" s="378">
        <v>7001010298</v>
      </c>
      <c r="L158" s="379">
        <v>0</v>
      </c>
    </row>
    <row r="159" spans="1:12" ht="30" x14ac:dyDescent="0.25">
      <c r="A159" s="375" t="s">
        <v>619</v>
      </c>
      <c r="B159" s="376" t="s">
        <v>619</v>
      </c>
      <c r="C159" s="370" t="s">
        <v>2165</v>
      </c>
      <c r="D159" s="370" t="s">
        <v>2165</v>
      </c>
      <c r="E159" s="371" t="s">
        <v>1444</v>
      </c>
      <c r="F159" s="376" t="s">
        <v>20</v>
      </c>
      <c r="G159" s="377"/>
      <c r="H159" s="372" t="s">
        <v>2165</v>
      </c>
      <c r="I159" s="373" t="s">
        <v>2165</v>
      </c>
      <c r="J159" s="374">
        <v>3.1100000000000003</v>
      </c>
      <c r="K159" s="378">
        <v>7001010299</v>
      </c>
      <c r="L159" s="379">
        <v>0</v>
      </c>
    </row>
    <row r="160" spans="1:12" x14ac:dyDescent="0.25">
      <c r="A160" s="375" t="s">
        <v>620</v>
      </c>
      <c r="B160" s="376" t="s">
        <v>620</v>
      </c>
      <c r="C160" s="370" t="s">
        <v>2165</v>
      </c>
      <c r="D160" s="370" t="s">
        <v>2165</v>
      </c>
      <c r="E160" s="371" t="s">
        <v>1445</v>
      </c>
      <c r="F160" s="376" t="s">
        <v>23</v>
      </c>
      <c r="G160" s="377"/>
      <c r="H160" s="372" t="s">
        <v>2165</v>
      </c>
      <c r="I160" s="373" t="s">
        <v>2165</v>
      </c>
      <c r="J160" s="374">
        <v>1.73</v>
      </c>
      <c r="K160" s="378">
        <v>7001010300</v>
      </c>
      <c r="L160" s="379">
        <v>0</v>
      </c>
    </row>
    <row r="161" spans="1:12" x14ac:dyDescent="0.25">
      <c r="A161" s="375" t="s">
        <v>621</v>
      </c>
      <c r="B161" s="376" t="s">
        <v>621</v>
      </c>
      <c r="C161" s="370" t="s">
        <v>2165</v>
      </c>
      <c r="D161" s="370" t="s">
        <v>2165</v>
      </c>
      <c r="E161" s="371" t="s">
        <v>1446</v>
      </c>
      <c r="F161" s="376" t="s">
        <v>23</v>
      </c>
      <c r="G161" s="377"/>
      <c r="H161" s="372" t="s">
        <v>2165</v>
      </c>
      <c r="I161" s="373" t="s">
        <v>2165</v>
      </c>
      <c r="J161" s="374">
        <v>1.9100000000000001</v>
      </c>
      <c r="K161" s="378">
        <v>7001010301</v>
      </c>
      <c r="L161" s="379">
        <v>0</v>
      </c>
    </row>
    <row r="162" spans="1:12" x14ac:dyDescent="0.25">
      <c r="A162" s="375" t="s">
        <v>622</v>
      </c>
      <c r="B162" s="376" t="s">
        <v>622</v>
      </c>
      <c r="C162" s="370" t="s">
        <v>2165</v>
      </c>
      <c r="D162" s="370" t="s">
        <v>2165</v>
      </c>
      <c r="E162" s="371" t="s">
        <v>1447</v>
      </c>
      <c r="F162" s="376" t="s">
        <v>23</v>
      </c>
      <c r="G162" s="377"/>
      <c r="H162" s="372" t="s">
        <v>2165</v>
      </c>
      <c r="I162" s="373" t="s">
        <v>2165</v>
      </c>
      <c r="J162" s="374">
        <v>2.5</v>
      </c>
      <c r="K162" s="378">
        <v>7001010302</v>
      </c>
      <c r="L162" s="379">
        <v>0</v>
      </c>
    </row>
    <row r="163" spans="1:12" x14ac:dyDescent="0.25">
      <c r="A163" s="375" t="s">
        <v>623</v>
      </c>
      <c r="B163" s="376" t="s">
        <v>623</v>
      </c>
      <c r="C163" s="370" t="s">
        <v>2165</v>
      </c>
      <c r="D163" s="370" t="s">
        <v>2165</v>
      </c>
      <c r="E163" s="371" t="s">
        <v>1448</v>
      </c>
      <c r="F163" s="376" t="s">
        <v>23</v>
      </c>
      <c r="G163" s="377"/>
      <c r="H163" s="372" t="s">
        <v>2165</v>
      </c>
      <c r="I163" s="373" t="s">
        <v>2165</v>
      </c>
      <c r="J163" s="374">
        <v>2.58</v>
      </c>
      <c r="K163" s="378">
        <v>7001010303</v>
      </c>
      <c r="L163" s="379">
        <v>0</v>
      </c>
    </row>
    <row r="164" spans="1:12" s="182" customFormat="1" ht="30" x14ac:dyDescent="0.25">
      <c r="A164" s="375" t="s">
        <v>624</v>
      </c>
      <c r="B164" s="376" t="s">
        <v>624</v>
      </c>
      <c r="C164" s="370" t="s">
        <v>2165</v>
      </c>
      <c r="D164" s="370" t="s">
        <v>2165</v>
      </c>
      <c r="E164" s="371" t="s">
        <v>2078</v>
      </c>
      <c r="F164" s="376" t="s">
        <v>23</v>
      </c>
      <c r="G164" s="377"/>
      <c r="H164" s="372" t="s">
        <v>2165</v>
      </c>
      <c r="I164" s="373" t="s">
        <v>2165</v>
      </c>
      <c r="J164" s="374">
        <v>16.11</v>
      </c>
      <c r="K164" s="378">
        <v>7001010353</v>
      </c>
      <c r="L164" s="379">
        <v>0</v>
      </c>
    </row>
    <row r="165" spans="1:12" s="182" customFormat="1" x14ac:dyDescent="0.25">
      <c r="A165" s="375" t="s">
        <v>2277</v>
      </c>
      <c r="B165" s="375" t="s">
        <v>2277</v>
      </c>
      <c r="C165" s="370" t="s">
        <v>2165</v>
      </c>
      <c r="D165" s="370" t="s">
        <v>2165</v>
      </c>
      <c r="E165" s="371" t="s">
        <v>2295</v>
      </c>
      <c r="F165" s="376" t="s">
        <v>29</v>
      </c>
      <c r="G165" s="377"/>
      <c r="H165" s="372" t="s">
        <v>2165</v>
      </c>
      <c r="I165" s="373" t="s">
        <v>2165</v>
      </c>
      <c r="J165" s="374">
        <v>133.9</v>
      </c>
      <c r="K165" s="378">
        <v>7001010661</v>
      </c>
      <c r="L165" s="379">
        <v>0</v>
      </c>
    </row>
    <row r="166" spans="1:12" s="182" customFormat="1" x14ac:dyDescent="0.25">
      <c r="A166" s="375" t="s">
        <v>2278</v>
      </c>
      <c r="B166" s="375" t="s">
        <v>2278</v>
      </c>
      <c r="C166" s="370" t="s">
        <v>2165</v>
      </c>
      <c r="D166" s="370" t="s">
        <v>2165</v>
      </c>
      <c r="E166" s="371" t="s">
        <v>2294</v>
      </c>
      <c r="F166" s="376" t="s">
        <v>29</v>
      </c>
      <c r="G166" s="377"/>
      <c r="H166" s="372" t="s">
        <v>2165</v>
      </c>
      <c r="I166" s="373" t="s">
        <v>2165</v>
      </c>
      <c r="J166" s="374">
        <v>141.60999999999999</v>
      </c>
      <c r="K166" s="378">
        <v>7001010662</v>
      </c>
      <c r="L166" s="379">
        <v>0</v>
      </c>
    </row>
    <row r="167" spans="1:12" s="10" customFormat="1" x14ac:dyDescent="0.25">
      <c r="A167" s="34">
        <v>3</v>
      </c>
      <c r="B167" s="174" t="s">
        <v>2165</v>
      </c>
      <c r="C167" s="383" t="s">
        <v>2165</v>
      </c>
      <c r="D167" s="383" t="s">
        <v>2165</v>
      </c>
      <c r="E167" s="384" t="s">
        <v>484</v>
      </c>
      <c r="F167" s="174"/>
      <c r="G167" s="175"/>
      <c r="H167" s="385" t="s">
        <v>2165</v>
      </c>
      <c r="I167" s="386" t="s">
        <v>2165</v>
      </c>
      <c r="J167" s="387" t="s">
        <v>2165</v>
      </c>
      <c r="K167" s="282" t="s">
        <v>2165</v>
      </c>
      <c r="L167" s="285" t="s">
        <v>2165</v>
      </c>
    </row>
    <row r="168" spans="1:12" x14ac:dyDescent="0.25">
      <c r="A168" s="375" t="s">
        <v>625</v>
      </c>
      <c r="B168" s="376" t="s">
        <v>625</v>
      </c>
      <c r="C168" s="370" t="s">
        <v>2165</v>
      </c>
      <c r="D168" s="370" t="s">
        <v>2165</v>
      </c>
      <c r="E168" s="371" t="s">
        <v>1449</v>
      </c>
      <c r="F168" s="376" t="s">
        <v>29</v>
      </c>
      <c r="G168" s="377"/>
      <c r="H168" s="372" t="s">
        <v>2165</v>
      </c>
      <c r="I168" s="373" t="s">
        <v>2165</v>
      </c>
      <c r="J168" s="374">
        <v>19.810000000000002</v>
      </c>
      <c r="K168" s="378">
        <v>7001010012</v>
      </c>
      <c r="L168" s="379">
        <v>0</v>
      </c>
    </row>
    <row r="169" spans="1:12" x14ac:dyDescent="0.25">
      <c r="A169" s="375" t="s">
        <v>626</v>
      </c>
      <c r="B169" s="376" t="s">
        <v>626</v>
      </c>
      <c r="C169" s="370" t="s">
        <v>2165</v>
      </c>
      <c r="D169" s="370" t="s">
        <v>2165</v>
      </c>
      <c r="E169" s="371" t="s">
        <v>1450</v>
      </c>
      <c r="F169" s="376" t="s">
        <v>29</v>
      </c>
      <c r="G169" s="377"/>
      <c r="H169" s="372" t="s">
        <v>2165</v>
      </c>
      <c r="I169" s="373" t="s">
        <v>2165</v>
      </c>
      <c r="J169" s="374">
        <v>12.82</v>
      </c>
      <c r="K169" s="378">
        <v>7001010013</v>
      </c>
      <c r="L169" s="379">
        <v>0</v>
      </c>
    </row>
    <row r="170" spans="1:12" ht="30" x14ac:dyDescent="0.25">
      <c r="A170" s="375" t="s">
        <v>627</v>
      </c>
      <c r="B170" s="376" t="s">
        <v>627</v>
      </c>
      <c r="C170" s="370" t="s">
        <v>2165</v>
      </c>
      <c r="D170" s="370" t="s">
        <v>2165</v>
      </c>
      <c r="E170" s="371" t="s">
        <v>1451</v>
      </c>
      <c r="F170" s="376" t="s">
        <v>29</v>
      </c>
      <c r="G170" s="377"/>
      <c r="H170" s="372" t="s">
        <v>2165</v>
      </c>
      <c r="I170" s="373" t="s">
        <v>2165</v>
      </c>
      <c r="J170" s="374">
        <v>38.71</v>
      </c>
      <c r="K170" s="378">
        <v>7001010436</v>
      </c>
      <c r="L170" s="379">
        <v>0</v>
      </c>
    </row>
    <row r="171" spans="1:12" s="10" customFormat="1" x14ac:dyDescent="0.25">
      <c r="A171" s="34">
        <v>4</v>
      </c>
      <c r="B171" s="174" t="s">
        <v>2165</v>
      </c>
      <c r="C171" s="383" t="s">
        <v>2165</v>
      </c>
      <c r="D171" s="383" t="s">
        <v>2165</v>
      </c>
      <c r="E171" s="384" t="s">
        <v>485</v>
      </c>
      <c r="F171" s="174"/>
      <c r="G171" s="175"/>
      <c r="H171" s="385" t="s">
        <v>2165</v>
      </c>
      <c r="I171" s="386" t="s">
        <v>2165</v>
      </c>
      <c r="J171" s="387" t="s">
        <v>2165</v>
      </c>
      <c r="K171" s="282" t="s">
        <v>2165</v>
      </c>
      <c r="L171" s="285" t="s">
        <v>2165</v>
      </c>
    </row>
    <row r="172" spans="1:12" s="182" customFormat="1" ht="30" x14ac:dyDescent="0.25">
      <c r="A172" s="375" t="s">
        <v>2044</v>
      </c>
      <c r="B172" s="376" t="s">
        <v>2044</v>
      </c>
      <c r="C172" s="370" t="s">
        <v>2165</v>
      </c>
      <c r="D172" s="370" t="s">
        <v>2165</v>
      </c>
      <c r="E172" s="371" t="s">
        <v>2043</v>
      </c>
      <c r="F172" s="376" t="s">
        <v>20</v>
      </c>
      <c r="G172" s="377"/>
      <c r="H172" s="372" t="s">
        <v>2165</v>
      </c>
      <c r="I172" s="373" t="s">
        <v>2165</v>
      </c>
      <c r="J172" s="374">
        <v>2.0300000000000002</v>
      </c>
      <c r="K172" s="378">
        <v>7001010623</v>
      </c>
      <c r="L172" s="379">
        <v>0</v>
      </c>
    </row>
    <row r="173" spans="1:12" x14ac:dyDescent="0.25">
      <c r="A173" s="375" t="s">
        <v>628</v>
      </c>
      <c r="B173" s="376" t="s">
        <v>628</v>
      </c>
      <c r="C173" s="370" t="s">
        <v>2165</v>
      </c>
      <c r="D173" s="370" t="s">
        <v>2165</v>
      </c>
      <c r="E173" s="371" t="s">
        <v>1452</v>
      </c>
      <c r="F173" s="376" t="s">
        <v>20</v>
      </c>
      <c r="G173" s="377"/>
      <c r="H173" s="372" t="s">
        <v>2165</v>
      </c>
      <c r="I173" s="373" t="s">
        <v>2165</v>
      </c>
      <c r="J173" s="374">
        <v>2.66</v>
      </c>
      <c r="K173" s="378">
        <v>7001010016</v>
      </c>
      <c r="L173" s="379">
        <v>0</v>
      </c>
    </row>
    <row r="174" spans="1:12" ht="30" x14ac:dyDescent="0.25">
      <c r="A174" s="375" t="s">
        <v>629</v>
      </c>
      <c r="B174" s="376" t="s">
        <v>629</v>
      </c>
      <c r="C174" s="370" t="s">
        <v>2165</v>
      </c>
      <c r="D174" s="370" t="s">
        <v>2165</v>
      </c>
      <c r="E174" s="371" t="s">
        <v>1453</v>
      </c>
      <c r="F174" s="376" t="s">
        <v>20</v>
      </c>
      <c r="G174" s="377"/>
      <c r="H174" s="372" t="s">
        <v>2165</v>
      </c>
      <c r="I174" s="373" t="s">
        <v>2165</v>
      </c>
      <c r="J174" s="374">
        <v>0.66</v>
      </c>
      <c r="K174" s="378">
        <v>7001010461</v>
      </c>
      <c r="L174" s="379">
        <v>0</v>
      </c>
    </row>
    <row r="175" spans="1:12" s="10" customFormat="1" x14ac:dyDescent="0.25">
      <c r="A175" s="34">
        <v>5</v>
      </c>
      <c r="B175" s="174" t="s">
        <v>2165</v>
      </c>
      <c r="C175" s="383" t="s">
        <v>2165</v>
      </c>
      <c r="D175" s="383" t="s">
        <v>2165</v>
      </c>
      <c r="E175" s="384" t="s">
        <v>486</v>
      </c>
      <c r="F175" s="174"/>
      <c r="G175" s="175"/>
      <c r="H175" s="385" t="s">
        <v>2165</v>
      </c>
      <c r="I175" s="386" t="s">
        <v>2165</v>
      </c>
      <c r="J175" s="387" t="s">
        <v>2165</v>
      </c>
      <c r="K175" s="282" t="s">
        <v>2165</v>
      </c>
      <c r="L175" s="285" t="s">
        <v>2165</v>
      </c>
    </row>
    <row r="176" spans="1:12" x14ac:dyDescent="0.25">
      <c r="A176" s="375" t="s">
        <v>630</v>
      </c>
      <c r="B176" s="376" t="s">
        <v>630</v>
      </c>
      <c r="C176" s="370" t="s">
        <v>2165</v>
      </c>
      <c r="D176" s="370" t="s">
        <v>2165</v>
      </c>
      <c r="E176" s="371" t="s">
        <v>1454</v>
      </c>
      <c r="F176" s="376" t="s">
        <v>29</v>
      </c>
      <c r="G176" s="377"/>
      <c r="H176" s="372" t="s">
        <v>2165</v>
      </c>
      <c r="I176" s="373" t="s">
        <v>2165</v>
      </c>
      <c r="J176" s="374">
        <v>7.7500000000000009</v>
      </c>
      <c r="K176" s="378">
        <v>7001010018</v>
      </c>
      <c r="L176" s="379">
        <v>0</v>
      </c>
    </row>
    <row r="177" spans="1:12" x14ac:dyDescent="0.25">
      <c r="A177" s="375" t="s">
        <v>631</v>
      </c>
      <c r="B177" s="376" t="s">
        <v>631</v>
      </c>
      <c r="C177" s="370" t="s">
        <v>2165</v>
      </c>
      <c r="D177" s="370" t="s">
        <v>2165</v>
      </c>
      <c r="E177" s="371" t="s">
        <v>1455</v>
      </c>
      <c r="F177" s="376" t="s">
        <v>29</v>
      </c>
      <c r="G177" s="377"/>
      <c r="H177" s="372" t="s">
        <v>2165</v>
      </c>
      <c r="I177" s="373" t="s">
        <v>2165</v>
      </c>
      <c r="J177" s="374">
        <v>0.26</v>
      </c>
      <c r="K177" s="378">
        <v>7001010332</v>
      </c>
      <c r="L177" s="379">
        <v>0</v>
      </c>
    </row>
    <row r="178" spans="1:12" x14ac:dyDescent="0.25">
      <c r="A178" s="375" t="s">
        <v>632</v>
      </c>
      <c r="B178" s="376" t="s">
        <v>632</v>
      </c>
      <c r="C178" s="370" t="s">
        <v>2165</v>
      </c>
      <c r="D178" s="370" t="s">
        <v>2165</v>
      </c>
      <c r="E178" s="371" t="s">
        <v>1456</v>
      </c>
      <c r="F178" s="376" t="s">
        <v>1973</v>
      </c>
      <c r="G178" s="377"/>
      <c r="H178" s="372" t="s">
        <v>2165</v>
      </c>
      <c r="I178" s="373" t="s">
        <v>2165</v>
      </c>
      <c r="J178" s="374">
        <v>487.94999999999993</v>
      </c>
      <c r="K178" s="378">
        <v>7001010333</v>
      </c>
      <c r="L178" s="379">
        <v>0</v>
      </c>
    </row>
    <row r="179" spans="1:12" s="10" customFormat="1" x14ac:dyDescent="0.25">
      <c r="A179" s="34">
        <v>6</v>
      </c>
      <c r="B179" s="174" t="s">
        <v>2165</v>
      </c>
      <c r="C179" s="383" t="s">
        <v>2165</v>
      </c>
      <c r="D179" s="383" t="s">
        <v>2165</v>
      </c>
      <c r="E179" s="384" t="s">
        <v>487</v>
      </c>
      <c r="F179" s="174"/>
      <c r="G179" s="175"/>
      <c r="H179" s="385" t="s">
        <v>2165</v>
      </c>
      <c r="I179" s="386" t="s">
        <v>2165</v>
      </c>
      <c r="J179" s="387" t="s">
        <v>2165</v>
      </c>
      <c r="K179" s="282" t="s">
        <v>2165</v>
      </c>
      <c r="L179" s="285" t="s">
        <v>2165</v>
      </c>
    </row>
    <row r="180" spans="1:12" x14ac:dyDescent="0.25">
      <c r="A180" s="375" t="s">
        <v>633</v>
      </c>
      <c r="B180" s="376" t="s">
        <v>633</v>
      </c>
      <c r="C180" s="370" t="s">
        <v>2165</v>
      </c>
      <c r="D180" s="370" t="s">
        <v>2165</v>
      </c>
      <c r="E180" s="371" t="s">
        <v>1457</v>
      </c>
      <c r="F180" s="376" t="s">
        <v>23</v>
      </c>
      <c r="G180" s="377"/>
      <c r="H180" s="372" t="s">
        <v>2165</v>
      </c>
      <c r="I180" s="373" t="s">
        <v>2165</v>
      </c>
      <c r="J180" s="374">
        <v>123.58000000000001</v>
      </c>
      <c r="K180" s="378">
        <v>7002020495</v>
      </c>
      <c r="L180" s="379">
        <v>0</v>
      </c>
    </row>
    <row r="181" spans="1:12" x14ac:dyDescent="0.25">
      <c r="A181" s="375" t="s">
        <v>634</v>
      </c>
      <c r="B181" s="376" t="s">
        <v>634</v>
      </c>
      <c r="C181" s="370" t="s">
        <v>2165</v>
      </c>
      <c r="D181" s="370" t="s">
        <v>2165</v>
      </c>
      <c r="E181" s="371" t="s">
        <v>1458</v>
      </c>
      <c r="F181" s="376" t="s">
        <v>23</v>
      </c>
      <c r="G181" s="377"/>
      <c r="H181" s="372" t="s">
        <v>2165</v>
      </c>
      <c r="I181" s="373" t="s">
        <v>2165</v>
      </c>
      <c r="J181" s="374">
        <v>159.93</v>
      </c>
      <c r="K181" s="378">
        <v>7002020496</v>
      </c>
      <c r="L181" s="379">
        <v>0</v>
      </c>
    </row>
    <row r="182" spans="1:12" x14ac:dyDescent="0.25">
      <c r="A182" s="375" t="s">
        <v>635</v>
      </c>
      <c r="B182" s="376" t="s">
        <v>635</v>
      </c>
      <c r="C182" s="370" t="s">
        <v>2165</v>
      </c>
      <c r="D182" s="370" t="s">
        <v>2165</v>
      </c>
      <c r="E182" s="371" t="s">
        <v>1459</v>
      </c>
      <c r="F182" s="376" t="s">
        <v>23</v>
      </c>
      <c r="G182" s="377"/>
      <c r="H182" s="372" t="s">
        <v>2165</v>
      </c>
      <c r="I182" s="373" t="s">
        <v>2165</v>
      </c>
      <c r="J182" s="374">
        <v>145.39999999999998</v>
      </c>
      <c r="K182" s="378">
        <v>7002020497</v>
      </c>
      <c r="L182" s="379">
        <v>0</v>
      </c>
    </row>
    <row r="183" spans="1:12" x14ac:dyDescent="0.25">
      <c r="A183" s="375" t="s">
        <v>636</v>
      </c>
      <c r="B183" s="376" t="s">
        <v>636</v>
      </c>
      <c r="C183" s="370" t="s">
        <v>2165</v>
      </c>
      <c r="D183" s="370" t="s">
        <v>2165</v>
      </c>
      <c r="E183" s="371" t="s">
        <v>1460</v>
      </c>
      <c r="F183" s="376" t="s">
        <v>23</v>
      </c>
      <c r="G183" s="377"/>
      <c r="H183" s="372" t="s">
        <v>2165</v>
      </c>
      <c r="I183" s="373" t="s">
        <v>2165</v>
      </c>
      <c r="J183" s="374">
        <v>159.93</v>
      </c>
      <c r="K183" s="378">
        <v>7002020498</v>
      </c>
      <c r="L183" s="379">
        <v>0</v>
      </c>
    </row>
    <row r="184" spans="1:12" x14ac:dyDescent="0.25">
      <c r="A184" s="375" t="s">
        <v>637</v>
      </c>
      <c r="B184" s="376" t="s">
        <v>637</v>
      </c>
      <c r="C184" s="370" t="s">
        <v>2165</v>
      </c>
      <c r="D184" s="370" t="s">
        <v>2165</v>
      </c>
      <c r="E184" s="371" t="s">
        <v>1461</v>
      </c>
      <c r="F184" s="376" t="s">
        <v>23</v>
      </c>
      <c r="G184" s="377"/>
      <c r="H184" s="372" t="s">
        <v>2165</v>
      </c>
      <c r="I184" s="373" t="s">
        <v>2165</v>
      </c>
      <c r="J184" s="374">
        <v>127.22</v>
      </c>
      <c r="K184" s="378">
        <v>7002020499</v>
      </c>
      <c r="L184" s="379">
        <v>0</v>
      </c>
    </row>
    <row r="185" spans="1:12" x14ac:dyDescent="0.25">
      <c r="A185" s="375" t="s">
        <v>638</v>
      </c>
      <c r="B185" s="376" t="s">
        <v>638</v>
      </c>
      <c r="C185" s="370" t="s">
        <v>2165</v>
      </c>
      <c r="D185" s="370" t="s">
        <v>2165</v>
      </c>
      <c r="E185" s="371" t="s">
        <v>1462</v>
      </c>
      <c r="F185" s="376" t="s">
        <v>23</v>
      </c>
      <c r="G185" s="377"/>
      <c r="H185" s="372" t="s">
        <v>2165</v>
      </c>
      <c r="I185" s="373" t="s">
        <v>2165</v>
      </c>
      <c r="J185" s="374">
        <v>116.31</v>
      </c>
      <c r="K185" s="378">
        <v>7002020500</v>
      </c>
      <c r="L185" s="379">
        <v>0</v>
      </c>
    </row>
    <row r="186" spans="1:12" x14ac:dyDescent="0.25">
      <c r="A186" s="375" t="s">
        <v>639</v>
      </c>
      <c r="B186" s="376" t="s">
        <v>639</v>
      </c>
      <c r="C186" s="370" t="s">
        <v>2165</v>
      </c>
      <c r="D186" s="370" t="s">
        <v>2165</v>
      </c>
      <c r="E186" s="371" t="s">
        <v>1463</v>
      </c>
      <c r="F186" s="376" t="s">
        <v>23</v>
      </c>
      <c r="G186" s="377"/>
      <c r="H186" s="372" t="s">
        <v>2165</v>
      </c>
      <c r="I186" s="373" t="s">
        <v>2165</v>
      </c>
      <c r="J186" s="374">
        <v>138.12</v>
      </c>
      <c r="K186" s="378">
        <v>7002020501</v>
      </c>
      <c r="L186" s="379">
        <v>0</v>
      </c>
    </row>
    <row r="187" spans="1:12" x14ac:dyDescent="0.25">
      <c r="A187" s="375" t="s">
        <v>640</v>
      </c>
      <c r="B187" s="376" t="s">
        <v>640</v>
      </c>
      <c r="C187" s="370" t="s">
        <v>2165</v>
      </c>
      <c r="D187" s="370" t="s">
        <v>2165</v>
      </c>
      <c r="E187" s="371" t="s">
        <v>1464</v>
      </c>
      <c r="F187" s="376" t="s">
        <v>23</v>
      </c>
      <c r="G187" s="377"/>
      <c r="H187" s="372" t="s">
        <v>2165</v>
      </c>
      <c r="I187" s="373" t="s">
        <v>2165</v>
      </c>
      <c r="J187" s="374">
        <v>65.42</v>
      </c>
      <c r="K187" s="378">
        <v>7002020502</v>
      </c>
      <c r="L187" s="379">
        <v>0</v>
      </c>
    </row>
    <row r="188" spans="1:12" x14ac:dyDescent="0.25">
      <c r="A188" s="375" t="s">
        <v>641</v>
      </c>
      <c r="B188" s="376" t="s">
        <v>641</v>
      </c>
      <c r="C188" s="370" t="s">
        <v>2165</v>
      </c>
      <c r="D188" s="370" t="s">
        <v>2165</v>
      </c>
      <c r="E188" s="371" t="s">
        <v>1465</v>
      </c>
      <c r="F188" s="376" t="s">
        <v>23</v>
      </c>
      <c r="G188" s="377"/>
      <c r="H188" s="372" t="s">
        <v>2165</v>
      </c>
      <c r="I188" s="373" t="s">
        <v>2165</v>
      </c>
      <c r="J188" s="374">
        <v>81.47</v>
      </c>
      <c r="K188" s="378">
        <v>7002020503</v>
      </c>
      <c r="L188" s="379">
        <v>0</v>
      </c>
    </row>
    <row r="189" spans="1:12" x14ac:dyDescent="0.25">
      <c r="A189" s="375" t="s">
        <v>642</v>
      </c>
      <c r="B189" s="376" t="s">
        <v>642</v>
      </c>
      <c r="C189" s="370" t="s">
        <v>2165</v>
      </c>
      <c r="D189" s="370" t="s">
        <v>2165</v>
      </c>
      <c r="E189" s="371" t="s">
        <v>1466</v>
      </c>
      <c r="F189" s="376" t="s">
        <v>23</v>
      </c>
      <c r="G189" s="377"/>
      <c r="H189" s="372" t="s">
        <v>2165</v>
      </c>
      <c r="I189" s="373" t="s">
        <v>2165</v>
      </c>
      <c r="J189" s="374">
        <v>50.879999999999995</v>
      </c>
      <c r="K189" s="378">
        <v>7002020504</v>
      </c>
      <c r="L189" s="379">
        <v>0</v>
      </c>
    </row>
    <row r="190" spans="1:12" x14ac:dyDescent="0.25">
      <c r="A190" s="375" t="s">
        <v>643</v>
      </c>
      <c r="B190" s="376" t="s">
        <v>643</v>
      </c>
      <c r="C190" s="370" t="s">
        <v>2165</v>
      </c>
      <c r="D190" s="370" t="s">
        <v>2165</v>
      </c>
      <c r="E190" s="371" t="s">
        <v>1467</v>
      </c>
      <c r="F190" s="376" t="s">
        <v>23</v>
      </c>
      <c r="G190" s="377"/>
      <c r="H190" s="372" t="s">
        <v>2165</v>
      </c>
      <c r="I190" s="373" t="s">
        <v>2165</v>
      </c>
      <c r="J190" s="374">
        <v>58.150000000000006</v>
      </c>
      <c r="K190" s="378">
        <v>7002020505</v>
      </c>
      <c r="L190" s="379">
        <v>0</v>
      </c>
    </row>
    <row r="191" spans="1:12" x14ac:dyDescent="0.25">
      <c r="A191" s="375" t="s">
        <v>644</v>
      </c>
      <c r="B191" s="376" t="s">
        <v>644</v>
      </c>
      <c r="C191" s="370" t="s">
        <v>2165</v>
      </c>
      <c r="D191" s="370" t="s">
        <v>2165</v>
      </c>
      <c r="E191" s="371" t="s">
        <v>1468</v>
      </c>
      <c r="F191" s="376" t="s">
        <v>23</v>
      </c>
      <c r="G191" s="377"/>
      <c r="H191" s="372" t="s">
        <v>2165</v>
      </c>
      <c r="I191" s="373" t="s">
        <v>2165</v>
      </c>
      <c r="J191" s="374">
        <v>65.42</v>
      </c>
      <c r="K191" s="378">
        <v>7002020506</v>
      </c>
      <c r="L191" s="379">
        <v>0</v>
      </c>
    </row>
    <row r="192" spans="1:12" x14ac:dyDescent="0.25">
      <c r="A192" s="375" t="s">
        <v>645</v>
      </c>
      <c r="B192" s="376" t="s">
        <v>645</v>
      </c>
      <c r="C192" s="370" t="s">
        <v>2165</v>
      </c>
      <c r="D192" s="370" t="s">
        <v>2165</v>
      </c>
      <c r="E192" s="371" t="s">
        <v>1469</v>
      </c>
      <c r="F192" s="376" t="s">
        <v>23</v>
      </c>
      <c r="G192" s="377"/>
      <c r="H192" s="372" t="s">
        <v>2165</v>
      </c>
      <c r="I192" s="373" t="s">
        <v>2165</v>
      </c>
      <c r="J192" s="374">
        <v>305.33</v>
      </c>
      <c r="K192" s="378">
        <v>7002020507</v>
      </c>
      <c r="L192" s="379">
        <v>0</v>
      </c>
    </row>
    <row r="193" spans="1:12" x14ac:dyDescent="0.25">
      <c r="A193" s="375" t="s">
        <v>646</v>
      </c>
      <c r="B193" s="376" t="s">
        <v>646</v>
      </c>
      <c r="C193" s="370" t="s">
        <v>2165</v>
      </c>
      <c r="D193" s="370" t="s">
        <v>2165</v>
      </c>
      <c r="E193" s="371" t="s">
        <v>1470</v>
      </c>
      <c r="F193" s="376" t="s">
        <v>23</v>
      </c>
      <c r="G193" s="377"/>
      <c r="H193" s="372" t="s">
        <v>2165</v>
      </c>
      <c r="I193" s="373" t="s">
        <v>2165</v>
      </c>
      <c r="J193" s="374">
        <v>254.45</v>
      </c>
      <c r="K193" s="378">
        <v>7002020509</v>
      </c>
      <c r="L193" s="379">
        <v>0</v>
      </c>
    </row>
    <row r="194" spans="1:12" x14ac:dyDescent="0.25">
      <c r="A194" s="375" t="s">
        <v>647</v>
      </c>
      <c r="B194" s="376" t="s">
        <v>647</v>
      </c>
      <c r="C194" s="370" t="s">
        <v>2165</v>
      </c>
      <c r="D194" s="370" t="s">
        <v>2165</v>
      </c>
      <c r="E194" s="371" t="s">
        <v>1471</v>
      </c>
      <c r="F194" s="376" t="s">
        <v>23</v>
      </c>
      <c r="G194" s="377"/>
      <c r="H194" s="372" t="s">
        <v>2165</v>
      </c>
      <c r="I194" s="373" t="s">
        <v>2165</v>
      </c>
      <c r="J194" s="374">
        <v>72.699999999999989</v>
      </c>
      <c r="K194" s="378">
        <v>7002020510</v>
      </c>
      <c r="L194" s="379">
        <v>0</v>
      </c>
    </row>
    <row r="195" spans="1:12" x14ac:dyDescent="0.25">
      <c r="A195" s="375" t="s">
        <v>648</v>
      </c>
      <c r="B195" s="376" t="s">
        <v>648</v>
      </c>
      <c r="C195" s="370" t="s">
        <v>2165</v>
      </c>
      <c r="D195" s="370" t="s">
        <v>2165</v>
      </c>
      <c r="E195" s="371" t="s">
        <v>1472</v>
      </c>
      <c r="F195" s="376" t="s">
        <v>23</v>
      </c>
      <c r="G195" s="377"/>
      <c r="H195" s="372" t="s">
        <v>2165</v>
      </c>
      <c r="I195" s="373" t="s">
        <v>2165</v>
      </c>
      <c r="J195" s="374">
        <v>65.42</v>
      </c>
      <c r="K195" s="378">
        <v>7002020511</v>
      </c>
      <c r="L195" s="379">
        <v>0</v>
      </c>
    </row>
    <row r="196" spans="1:12" x14ac:dyDescent="0.25">
      <c r="A196" s="375" t="s">
        <v>649</v>
      </c>
      <c r="B196" s="376" t="s">
        <v>649</v>
      </c>
      <c r="C196" s="370" t="s">
        <v>2165</v>
      </c>
      <c r="D196" s="370" t="s">
        <v>2165</v>
      </c>
      <c r="E196" s="371" t="s">
        <v>1473</v>
      </c>
      <c r="F196" s="376" t="s">
        <v>23</v>
      </c>
      <c r="G196" s="377"/>
      <c r="H196" s="372" t="s">
        <v>2165</v>
      </c>
      <c r="I196" s="373" t="s">
        <v>2165</v>
      </c>
      <c r="J196" s="374">
        <v>72.699999999999989</v>
      </c>
      <c r="K196" s="378">
        <v>7002020512</v>
      </c>
      <c r="L196" s="379">
        <v>0</v>
      </c>
    </row>
    <row r="197" spans="1:12" x14ac:dyDescent="0.25">
      <c r="A197" s="375" t="s">
        <v>650</v>
      </c>
      <c r="B197" s="376" t="s">
        <v>650</v>
      </c>
      <c r="C197" s="370" t="s">
        <v>2165</v>
      </c>
      <c r="D197" s="370" t="s">
        <v>2165</v>
      </c>
      <c r="E197" s="371" t="s">
        <v>1474</v>
      </c>
      <c r="F197" s="376" t="s">
        <v>23</v>
      </c>
      <c r="G197" s="377"/>
      <c r="H197" s="372" t="s">
        <v>2165</v>
      </c>
      <c r="I197" s="373" t="s">
        <v>2165</v>
      </c>
      <c r="J197" s="374">
        <v>58.150000000000006</v>
      </c>
      <c r="K197" s="378">
        <v>7002020513</v>
      </c>
      <c r="L197" s="379">
        <v>0</v>
      </c>
    </row>
    <row r="198" spans="1:12" x14ac:dyDescent="0.25">
      <c r="A198" s="375" t="s">
        <v>651</v>
      </c>
      <c r="B198" s="376" t="s">
        <v>651</v>
      </c>
      <c r="C198" s="370" t="s">
        <v>2165</v>
      </c>
      <c r="D198" s="370" t="s">
        <v>2165</v>
      </c>
      <c r="E198" s="371" t="s">
        <v>1475</v>
      </c>
      <c r="F198" s="376" t="s">
        <v>23</v>
      </c>
      <c r="G198" s="377"/>
      <c r="H198" s="372" t="s">
        <v>2165</v>
      </c>
      <c r="I198" s="373" t="s">
        <v>2165</v>
      </c>
      <c r="J198" s="374">
        <v>130.85</v>
      </c>
      <c r="K198" s="378">
        <v>7002020514</v>
      </c>
      <c r="L198" s="379">
        <v>0</v>
      </c>
    </row>
    <row r="199" spans="1:12" x14ac:dyDescent="0.25">
      <c r="A199" s="375" t="s">
        <v>652</v>
      </c>
      <c r="B199" s="376" t="s">
        <v>652</v>
      </c>
      <c r="C199" s="370" t="s">
        <v>2165</v>
      </c>
      <c r="D199" s="370" t="s">
        <v>2165</v>
      </c>
      <c r="E199" s="371" t="s">
        <v>1476</v>
      </c>
      <c r="F199" s="376" t="s">
        <v>23</v>
      </c>
      <c r="G199" s="377"/>
      <c r="H199" s="372" t="s">
        <v>2165</v>
      </c>
      <c r="I199" s="373" t="s">
        <v>2165</v>
      </c>
      <c r="J199" s="374">
        <v>130.85</v>
      </c>
      <c r="K199" s="378">
        <v>7002020515</v>
      </c>
      <c r="L199" s="379">
        <v>0</v>
      </c>
    </row>
    <row r="200" spans="1:12" x14ac:dyDescent="0.25">
      <c r="A200" s="375" t="s">
        <v>653</v>
      </c>
      <c r="B200" s="376" t="s">
        <v>653</v>
      </c>
      <c r="C200" s="370" t="s">
        <v>2165</v>
      </c>
      <c r="D200" s="370" t="s">
        <v>2165</v>
      </c>
      <c r="E200" s="371" t="s">
        <v>1477</v>
      </c>
      <c r="F200" s="376" t="s">
        <v>23</v>
      </c>
      <c r="G200" s="377"/>
      <c r="H200" s="372" t="s">
        <v>2165</v>
      </c>
      <c r="I200" s="373" t="s">
        <v>2165</v>
      </c>
      <c r="J200" s="374">
        <v>145.39999999999998</v>
      </c>
      <c r="K200" s="378">
        <v>7002020516</v>
      </c>
      <c r="L200" s="379">
        <v>0</v>
      </c>
    </row>
    <row r="201" spans="1:12" x14ac:dyDescent="0.25">
      <c r="A201" s="375" t="s">
        <v>654</v>
      </c>
      <c r="B201" s="376" t="s">
        <v>654</v>
      </c>
      <c r="C201" s="370" t="s">
        <v>2165</v>
      </c>
      <c r="D201" s="370" t="s">
        <v>2165</v>
      </c>
      <c r="E201" s="371" t="s">
        <v>1478</v>
      </c>
      <c r="F201" s="376" t="s">
        <v>23</v>
      </c>
      <c r="G201" s="377"/>
      <c r="H201" s="372" t="s">
        <v>2165</v>
      </c>
      <c r="I201" s="373" t="s">
        <v>2165</v>
      </c>
      <c r="J201" s="374">
        <v>51.39</v>
      </c>
      <c r="K201" s="378">
        <v>7002020517</v>
      </c>
      <c r="L201" s="379">
        <v>0</v>
      </c>
    </row>
    <row r="202" spans="1:12" s="10" customFormat="1" x14ac:dyDescent="0.25">
      <c r="A202" s="34">
        <v>7</v>
      </c>
      <c r="B202" s="174" t="s">
        <v>2165</v>
      </c>
      <c r="C202" s="383" t="s">
        <v>2165</v>
      </c>
      <c r="D202" s="383" t="s">
        <v>2165</v>
      </c>
      <c r="E202" s="384" t="s">
        <v>488</v>
      </c>
      <c r="F202" s="174"/>
      <c r="G202" s="175"/>
      <c r="H202" s="385" t="s">
        <v>2165</v>
      </c>
      <c r="I202" s="386" t="s">
        <v>2165</v>
      </c>
      <c r="J202" s="387" t="s">
        <v>2165</v>
      </c>
      <c r="K202" s="282" t="s">
        <v>2165</v>
      </c>
      <c r="L202" s="285" t="s">
        <v>2165</v>
      </c>
    </row>
    <row r="203" spans="1:12" x14ac:dyDescent="0.25">
      <c r="A203" s="375" t="s">
        <v>655</v>
      </c>
      <c r="B203" s="376" t="s">
        <v>655</v>
      </c>
      <c r="C203" s="370" t="s">
        <v>2165</v>
      </c>
      <c r="D203" s="370" t="s">
        <v>2165</v>
      </c>
      <c r="E203" s="371" t="s">
        <v>1479</v>
      </c>
      <c r="F203" s="376" t="s">
        <v>76</v>
      </c>
      <c r="G203" s="377"/>
      <c r="H203" s="372" t="s">
        <v>2165</v>
      </c>
      <c r="I203" s="373" t="s">
        <v>2165</v>
      </c>
      <c r="J203" s="374">
        <v>0.57999999999999996</v>
      </c>
      <c r="K203" s="378">
        <v>7001380882</v>
      </c>
      <c r="L203" s="379">
        <v>0.32823868576396836</v>
      </c>
    </row>
    <row r="204" spans="1:12" x14ac:dyDescent="0.25">
      <c r="A204" s="375" t="s">
        <v>656</v>
      </c>
      <c r="B204" s="376" t="s">
        <v>656</v>
      </c>
      <c r="C204" s="370" t="s">
        <v>2165</v>
      </c>
      <c r="D204" s="370" t="s">
        <v>2165</v>
      </c>
      <c r="E204" s="371" t="s">
        <v>1480</v>
      </c>
      <c r="F204" s="376" t="s">
        <v>78</v>
      </c>
      <c r="G204" s="377"/>
      <c r="H204" s="372" t="s">
        <v>2165</v>
      </c>
      <c r="I204" s="373" t="s">
        <v>2165</v>
      </c>
      <c r="J204" s="374">
        <v>145.52000000000001</v>
      </c>
      <c r="K204" s="378">
        <v>7001010384</v>
      </c>
      <c r="L204" s="379">
        <v>0.2723120084603543</v>
      </c>
    </row>
    <row r="205" spans="1:12" ht="45" x14ac:dyDescent="0.25">
      <c r="A205" s="375" t="s">
        <v>657</v>
      </c>
      <c r="B205" s="376" t="s">
        <v>657</v>
      </c>
      <c r="C205" s="370" t="s">
        <v>2165</v>
      </c>
      <c r="D205" s="370" t="s">
        <v>2165</v>
      </c>
      <c r="E205" s="371" t="s">
        <v>1481</v>
      </c>
      <c r="F205" s="376" t="s">
        <v>79</v>
      </c>
      <c r="G205" s="377"/>
      <c r="H205" s="372" t="s">
        <v>2165</v>
      </c>
      <c r="I205" s="373" t="s">
        <v>2165</v>
      </c>
      <c r="J205" s="374">
        <v>650.39</v>
      </c>
      <c r="K205" s="378">
        <v>7002020666</v>
      </c>
      <c r="L205" s="379">
        <v>1</v>
      </c>
    </row>
    <row r="206" spans="1:12" ht="30" x14ac:dyDescent="0.25">
      <c r="A206" s="375" t="s">
        <v>658</v>
      </c>
      <c r="B206" s="376" t="s">
        <v>658</v>
      </c>
      <c r="C206" s="370" t="s">
        <v>2165</v>
      </c>
      <c r="D206" s="370" t="s">
        <v>2165</v>
      </c>
      <c r="E206" s="371" t="s">
        <v>1483</v>
      </c>
      <c r="F206" s="376" t="s">
        <v>79</v>
      </c>
      <c r="G206" s="377"/>
      <c r="H206" s="372" t="s">
        <v>2165</v>
      </c>
      <c r="I206" s="373" t="s">
        <v>2165</v>
      </c>
      <c r="J206" s="374">
        <v>4251.6400000000003</v>
      </c>
      <c r="K206" s="378">
        <v>7001381457</v>
      </c>
      <c r="L206" s="379">
        <v>3.1383183900800637E-2</v>
      </c>
    </row>
    <row r="207" spans="1:12" ht="30" x14ac:dyDescent="0.25">
      <c r="A207" s="375" t="s">
        <v>659</v>
      </c>
      <c r="B207" s="376" t="s">
        <v>659</v>
      </c>
      <c r="C207" s="370" t="s">
        <v>2165</v>
      </c>
      <c r="D207" s="370" t="s">
        <v>2165</v>
      </c>
      <c r="E207" s="371" t="s">
        <v>1484</v>
      </c>
      <c r="F207" s="376" t="s">
        <v>79</v>
      </c>
      <c r="G207" s="377"/>
      <c r="H207" s="372" t="s">
        <v>2165</v>
      </c>
      <c r="I207" s="373" t="s">
        <v>2165</v>
      </c>
      <c r="J207" s="374">
        <v>4161.9199999999992</v>
      </c>
      <c r="K207" s="378">
        <v>7002020825</v>
      </c>
      <c r="L207" s="379">
        <v>3.2059722435798868E-2</v>
      </c>
    </row>
    <row r="208" spans="1:12" s="10" customFormat="1" x14ac:dyDescent="0.25">
      <c r="A208" s="34">
        <v>8</v>
      </c>
      <c r="B208" s="174" t="s">
        <v>2165</v>
      </c>
      <c r="C208" s="383" t="s">
        <v>2165</v>
      </c>
      <c r="D208" s="383" t="s">
        <v>2165</v>
      </c>
      <c r="E208" s="384" t="s">
        <v>489</v>
      </c>
      <c r="F208" s="174"/>
      <c r="G208" s="175"/>
      <c r="H208" s="385" t="s">
        <v>2165</v>
      </c>
      <c r="I208" s="386" t="s">
        <v>2165</v>
      </c>
      <c r="J208" s="387" t="s">
        <v>2165</v>
      </c>
      <c r="K208" s="282" t="s">
        <v>2165</v>
      </c>
      <c r="L208" s="285" t="s">
        <v>2165</v>
      </c>
    </row>
    <row r="209" spans="1:12" s="10" customFormat="1" x14ac:dyDescent="0.25">
      <c r="A209" s="34" t="s">
        <v>490</v>
      </c>
      <c r="B209" s="174" t="s">
        <v>2165</v>
      </c>
      <c r="C209" s="383" t="s">
        <v>2165</v>
      </c>
      <c r="D209" s="383" t="s">
        <v>2165</v>
      </c>
      <c r="E209" s="384" t="s">
        <v>491</v>
      </c>
      <c r="F209" s="174"/>
      <c r="G209" s="175"/>
      <c r="H209" s="385" t="s">
        <v>2165</v>
      </c>
      <c r="I209" s="386" t="s">
        <v>2165</v>
      </c>
      <c r="J209" s="387" t="s">
        <v>2165</v>
      </c>
      <c r="K209" s="282" t="s">
        <v>2165</v>
      </c>
      <c r="L209" s="285" t="s">
        <v>2165</v>
      </c>
    </row>
    <row r="210" spans="1:12" x14ac:dyDescent="0.25">
      <c r="A210" s="375" t="s">
        <v>1280</v>
      </c>
      <c r="B210" s="376" t="s">
        <v>1280</v>
      </c>
      <c r="C210" s="370" t="s">
        <v>2165</v>
      </c>
      <c r="D210" s="370" t="s">
        <v>2165</v>
      </c>
      <c r="E210" s="371" t="s">
        <v>1485</v>
      </c>
      <c r="F210" s="376" t="s">
        <v>34</v>
      </c>
      <c r="G210" s="377"/>
      <c r="H210" s="372" t="s">
        <v>2165</v>
      </c>
      <c r="I210" s="373" t="s">
        <v>2165</v>
      </c>
      <c r="J210" s="374">
        <v>65.150000000000006</v>
      </c>
      <c r="K210" s="378">
        <v>7001020787</v>
      </c>
      <c r="L210" s="379">
        <v>0</v>
      </c>
    </row>
    <row r="211" spans="1:12" ht="30" x14ac:dyDescent="0.25">
      <c r="A211" s="375" t="s">
        <v>1281</v>
      </c>
      <c r="B211" s="376" t="s">
        <v>1281</v>
      </c>
      <c r="C211" s="370" t="s">
        <v>2165</v>
      </c>
      <c r="D211" s="370" t="s">
        <v>2165</v>
      </c>
      <c r="E211" s="371" t="s">
        <v>1486</v>
      </c>
      <c r="F211" s="376" t="s">
        <v>34</v>
      </c>
      <c r="G211" s="377"/>
      <c r="H211" s="372" t="s">
        <v>2165</v>
      </c>
      <c r="I211" s="373" t="s">
        <v>2165</v>
      </c>
      <c r="J211" s="374">
        <v>75.02</v>
      </c>
      <c r="K211" s="378">
        <v>7001020788</v>
      </c>
      <c r="L211" s="379">
        <v>0</v>
      </c>
    </row>
    <row r="212" spans="1:12" ht="30" x14ac:dyDescent="0.25">
      <c r="A212" s="375" t="s">
        <v>1282</v>
      </c>
      <c r="B212" s="376" t="s">
        <v>1282</v>
      </c>
      <c r="C212" s="370" t="s">
        <v>2165</v>
      </c>
      <c r="D212" s="370" t="s">
        <v>2165</v>
      </c>
      <c r="E212" s="371" t="s">
        <v>1487</v>
      </c>
      <c r="F212" s="376" t="s">
        <v>34</v>
      </c>
      <c r="G212" s="377"/>
      <c r="H212" s="372" t="s">
        <v>2165</v>
      </c>
      <c r="I212" s="373" t="s">
        <v>2165</v>
      </c>
      <c r="J212" s="374">
        <v>84.89</v>
      </c>
      <c r="K212" s="378">
        <v>7001020789</v>
      </c>
      <c r="L212" s="379">
        <v>0</v>
      </c>
    </row>
    <row r="213" spans="1:12" ht="30" x14ac:dyDescent="0.25">
      <c r="A213" s="375" t="s">
        <v>1283</v>
      </c>
      <c r="B213" s="376" t="s">
        <v>1283</v>
      </c>
      <c r="C213" s="370" t="s">
        <v>2165</v>
      </c>
      <c r="D213" s="370" t="s">
        <v>2165</v>
      </c>
      <c r="E213" s="371" t="s">
        <v>1488</v>
      </c>
      <c r="F213" s="376" t="s">
        <v>34</v>
      </c>
      <c r="G213" s="377"/>
      <c r="H213" s="372" t="s">
        <v>2165</v>
      </c>
      <c r="I213" s="373" t="s">
        <v>2165</v>
      </c>
      <c r="J213" s="374">
        <v>94.76</v>
      </c>
      <c r="K213" s="378">
        <v>7001020790</v>
      </c>
      <c r="L213" s="379">
        <v>0</v>
      </c>
    </row>
    <row r="214" spans="1:12" s="10" customFormat="1" x14ac:dyDescent="0.25">
      <c r="A214" s="34" t="s">
        <v>492</v>
      </c>
      <c r="B214" s="174" t="s">
        <v>2165</v>
      </c>
      <c r="C214" s="383" t="s">
        <v>2165</v>
      </c>
      <c r="D214" s="383" t="s">
        <v>2165</v>
      </c>
      <c r="E214" s="384" t="s">
        <v>493</v>
      </c>
      <c r="F214" s="174"/>
      <c r="G214" s="175"/>
      <c r="H214" s="385" t="s">
        <v>2165</v>
      </c>
      <c r="I214" s="386" t="s">
        <v>2165</v>
      </c>
      <c r="J214" s="387" t="s">
        <v>2165</v>
      </c>
      <c r="K214" s="282" t="s">
        <v>2165</v>
      </c>
      <c r="L214" s="285" t="s">
        <v>2165</v>
      </c>
    </row>
    <row r="215" spans="1:12" ht="30" x14ac:dyDescent="0.25">
      <c r="A215" s="375" t="s">
        <v>1431</v>
      </c>
      <c r="B215" s="376" t="s">
        <v>1431</v>
      </c>
      <c r="C215" s="370" t="s">
        <v>2165</v>
      </c>
      <c r="D215" s="370" t="s">
        <v>2165</v>
      </c>
      <c r="E215" s="371" t="s">
        <v>1489</v>
      </c>
      <c r="F215" s="376" t="s">
        <v>34</v>
      </c>
      <c r="G215" s="377"/>
      <c r="H215" s="372" t="s">
        <v>2165</v>
      </c>
      <c r="I215" s="373" t="s">
        <v>2165</v>
      </c>
      <c r="J215" s="374">
        <v>121.94</v>
      </c>
      <c r="K215" s="378">
        <v>7001020835</v>
      </c>
      <c r="L215" s="379">
        <v>0</v>
      </c>
    </row>
    <row r="216" spans="1:12" ht="45" x14ac:dyDescent="0.25">
      <c r="A216" s="375" t="s">
        <v>1432</v>
      </c>
      <c r="B216" s="376" t="s">
        <v>1432</v>
      </c>
      <c r="C216" s="370" t="s">
        <v>2165</v>
      </c>
      <c r="D216" s="370" t="s">
        <v>2165</v>
      </c>
      <c r="E216" s="371" t="s">
        <v>1490</v>
      </c>
      <c r="F216" s="376" t="s">
        <v>34</v>
      </c>
      <c r="G216" s="377"/>
      <c r="H216" s="372" t="s">
        <v>2165</v>
      </c>
      <c r="I216" s="373" t="s">
        <v>2165</v>
      </c>
      <c r="J216" s="374">
        <v>72.240000000000009</v>
      </c>
      <c r="K216" s="378">
        <v>7001020836</v>
      </c>
      <c r="L216" s="379">
        <v>0.34665220973028377</v>
      </c>
    </row>
    <row r="217" spans="1:12" ht="45" x14ac:dyDescent="0.25">
      <c r="A217" s="375" t="s">
        <v>1433</v>
      </c>
      <c r="B217" s="376" t="s">
        <v>1433</v>
      </c>
      <c r="C217" s="370" t="s">
        <v>2165</v>
      </c>
      <c r="D217" s="370" t="s">
        <v>2165</v>
      </c>
      <c r="E217" s="371" t="s">
        <v>1491</v>
      </c>
      <c r="F217" s="376" t="s">
        <v>34</v>
      </c>
      <c r="G217" s="377"/>
      <c r="H217" s="372" t="s">
        <v>2165</v>
      </c>
      <c r="I217" s="373" t="s">
        <v>2165</v>
      </c>
      <c r="J217" s="374">
        <v>210.07999999999998</v>
      </c>
      <c r="K217" s="378">
        <v>7001020837</v>
      </c>
      <c r="L217" s="379">
        <v>0.62252630225852323</v>
      </c>
    </row>
    <row r="218" spans="1:12" ht="30" x14ac:dyDescent="0.25">
      <c r="A218" s="375" t="s">
        <v>1434</v>
      </c>
      <c r="B218" s="376" t="s">
        <v>1434</v>
      </c>
      <c r="C218" s="370" t="s">
        <v>2165</v>
      </c>
      <c r="D218" s="370" t="s">
        <v>2165</v>
      </c>
      <c r="E218" s="371" t="s">
        <v>1492</v>
      </c>
      <c r="F218" s="376" t="s">
        <v>34</v>
      </c>
      <c r="G218" s="377"/>
      <c r="H218" s="372" t="s">
        <v>2165</v>
      </c>
      <c r="I218" s="373" t="s">
        <v>2165</v>
      </c>
      <c r="J218" s="374">
        <v>220.35</v>
      </c>
      <c r="K218" s="378">
        <v>7001020838</v>
      </c>
      <c r="L218" s="379">
        <v>0.14830076838842643</v>
      </c>
    </row>
    <row r="219" spans="1:12" s="10" customFormat="1" x14ac:dyDescent="0.25">
      <c r="A219" s="34" t="s">
        <v>494</v>
      </c>
      <c r="B219" s="174" t="s">
        <v>2165</v>
      </c>
      <c r="C219" s="383" t="s">
        <v>2165</v>
      </c>
      <c r="D219" s="383" t="s">
        <v>2165</v>
      </c>
      <c r="E219" s="384" t="s">
        <v>2047</v>
      </c>
      <c r="F219" s="174"/>
      <c r="G219" s="175"/>
      <c r="H219" s="385" t="s">
        <v>2165</v>
      </c>
      <c r="I219" s="386" t="s">
        <v>2165</v>
      </c>
      <c r="J219" s="387" t="s">
        <v>2165</v>
      </c>
      <c r="K219" s="282" t="s">
        <v>2165</v>
      </c>
      <c r="L219" s="285" t="s">
        <v>2165</v>
      </c>
    </row>
    <row r="220" spans="1:12" ht="30" x14ac:dyDescent="0.25">
      <c r="A220" s="375" t="s">
        <v>660</v>
      </c>
      <c r="B220" s="376" t="s">
        <v>660</v>
      </c>
      <c r="C220" s="370" t="s">
        <v>2165</v>
      </c>
      <c r="D220" s="370" t="s">
        <v>2165</v>
      </c>
      <c r="E220" s="371" t="s">
        <v>1493</v>
      </c>
      <c r="F220" s="376" t="s">
        <v>34</v>
      </c>
      <c r="G220" s="377"/>
      <c r="H220" s="372" t="s">
        <v>2165</v>
      </c>
      <c r="I220" s="373" t="s">
        <v>2165</v>
      </c>
      <c r="J220" s="374">
        <v>3.44</v>
      </c>
      <c r="K220" s="378">
        <v>7001020016</v>
      </c>
      <c r="L220" s="379">
        <v>0.50051098620337253</v>
      </c>
    </row>
    <row r="221" spans="1:12" ht="30" x14ac:dyDescent="0.25">
      <c r="A221" s="375" t="s">
        <v>661</v>
      </c>
      <c r="B221" s="376" t="s">
        <v>661</v>
      </c>
      <c r="C221" s="370" t="s">
        <v>2165</v>
      </c>
      <c r="D221" s="370" t="s">
        <v>2165</v>
      </c>
      <c r="E221" s="371" t="s">
        <v>1494</v>
      </c>
      <c r="F221" s="376" t="s">
        <v>34</v>
      </c>
      <c r="G221" s="377"/>
      <c r="H221" s="372" t="s">
        <v>2165</v>
      </c>
      <c r="I221" s="373" t="s">
        <v>2165</v>
      </c>
      <c r="J221" s="374">
        <v>3.99</v>
      </c>
      <c r="K221" s="378">
        <v>7001020017</v>
      </c>
      <c r="L221" s="379">
        <v>0.50051098620337253</v>
      </c>
    </row>
    <row r="222" spans="1:12" ht="30" x14ac:dyDescent="0.25">
      <c r="A222" s="375" t="s">
        <v>662</v>
      </c>
      <c r="B222" s="376" t="s">
        <v>662</v>
      </c>
      <c r="C222" s="370" t="s">
        <v>2165</v>
      </c>
      <c r="D222" s="370" t="s">
        <v>2165</v>
      </c>
      <c r="E222" s="371" t="s">
        <v>1495</v>
      </c>
      <c r="F222" s="376" t="s">
        <v>34</v>
      </c>
      <c r="G222" s="377"/>
      <c r="H222" s="372" t="s">
        <v>2165</v>
      </c>
      <c r="I222" s="373" t="s">
        <v>2165</v>
      </c>
      <c r="J222" s="374">
        <v>4.83</v>
      </c>
      <c r="K222" s="378">
        <v>7001020018</v>
      </c>
      <c r="L222" s="379">
        <v>0.50051098620337253</v>
      </c>
    </row>
    <row r="223" spans="1:12" s="182" customFormat="1" x14ac:dyDescent="0.25">
      <c r="A223" s="375" t="s">
        <v>2048</v>
      </c>
      <c r="B223" s="376" t="s">
        <v>2048</v>
      </c>
      <c r="C223" s="370" t="s">
        <v>2165</v>
      </c>
      <c r="D223" s="370" t="s">
        <v>2165</v>
      </c>
      <c r="E223" s="371" t="s">
        <v>2079</v>
      </c>
      <c r="F223" s="376" t="s">
        <v>34</v>
      </c>
      <c r="G223" s="377"/>
      <c r="H223" s="372" t="s">
        <v>2165</v>
      </c>
      <c r="I223" s="373" t="s">
        <v>2165</v>
      </c>
      <c r="J223" s="374">
        <v>15.98</v>
      </c>
      <c r="K223" s="378">
        <v>7001020019</v>
      </c>
      <c r="L223" s="379">
        <v>0.25113872061374554</v>
      </c>
    </row>
    <row r="224" spans="1:12" s="182" customFormat="1" x14ac:dyDescent="0.25">
      <c r="A224" s="375" t="s">
        <v>2049</v>
      </c>
      <c r="B224" s="376" t="s">
        <v>2049</v>
      </c>
      <c r="C224" s="370" t="s">
        <v>2165</v>
      </c>
      <c r="D224" s="370" t="s">
        <v>2165</v>
      </c>
      <c r="E224" s="371" t="s">
        <v>2080</v>
      </c>
      <c r="F224" s="376" t="s">
        <v>34</v>
      </c>
      <c r="G224" s="377"/>
      <c r="H224" s="372" t="s">
        <v>2165</v>
      </c>
      <c r="I224" s="373" t="s">
        <v>2165</v>
      </c>
      <c r="J224" s="374">
        <v>16.57</v>
      </c>
      <c r="K224" s="378">
        <v>7001020020</v>
      </c>
      <c r="L224" s="379">
        <v>0.2555638008268255</v>
      </c>
    </row>
    <row r="225" spans="1:12" s="182" customFormat="1" x14ac:dyDescent="0.25">
      <c r="A225" s="375" t="s">
        <v>2050</v>
      </c>
      <c r="B225" s="376" t="s">
        <v>2050</v>
      </c>
      <c r="C225" s="370" t="s">
        <v>2165</v>
      </c>
      <c r="D225" s="370" t="s">
        <v>2165</v>
      </c>
      <c r="E225" s="371" t="s">
        <v>2081</v>
      </c>
      <c r="F225" s="376" t="s">
        <v>34</v>
      </c>
      <c r="G225" s="377"/>
      <c r="H225" s="372" t="s">
        <v>2165</v>
      </c>
      <c r="I225" s="373" t="s">
        <v>2165</v>
      </c>
      <c r="J225" s="374">
        <v>17.060000000000002</v>
      </c>
      <c r="K225" s="378">
        <v>7001020021</v>
      </c>
      <c r="L225" s="379">
        <v>0.25900621375472294</v>
      </c>
    </row>
    <row r="226" spans="1:12" s="182" customFormat="1" ht="31.5" customHeight="1" x14ac:dyDescent="0.25">
      <c r="A226" s="375" t="s">
        <v>2051</v>
      </c>
      <c r="B226" s="376" t="s">
        <v>2051</v>
      </c>
      <c r="C226" s="370" t="s">
        <v>2165</v>
      </c>
      <c r="D226" s="370" t="s">
        <v>2165</v>
      </c>
      <c r="E226" s="371" t="s">
        <v>2082</v>
      </c>
      <c r="F226" s="376" t="s">
        <v>34</v>
      </c>
      <c r="G226" s="377"/>
      <c r="H226" s="372" t="s">
        <v>2165</v>
      </c>
      <c r="I226" s="373" t="s">
        <v>2165</v>
      </c>
      <c r="J226" s="374">
        <v>17.560000000000002</v>
      </c>
      <c r="K226" s="378">
        <v>7001020022</v>
      </c>
      <c r="L226" s="379">
        <v>0.26232084244558229</v>
      </c>
    </row>
    <row r="227" spans="1:12" s="182" customFormat="1" ht="30" x14ac:dyDescent="0.25">
      <c r="A227" s="375" t="s">
        <v>2052</v>
      </c>
      <c r="B227" s="376" t="s">
        <v>2052</v>
      </c>
      <c r="C227" s="370" t="s">
        <v>2165</v>
      </c>
      <c r="D227" s="370" t="s">
        <v>2165</v>
      </c>
      <c r="E227" s="371" t="s">
        <v>2083</v>
      </c>
      <c r="F227" s="376" t="s">
        <v>34</v>
      </c>
      <c r="G227" s="377"/>
      <c r="H227" s="372" t="s">
        <v>2165</v>
      </c>
      <c r="I227" s="373" t="s">
        <v>2165</v>
      </c>
      <c r="J227" s="374">
        <v>17.899999999999999</v>
      </c>
      <c r="K227" s="378">
        <v>7001020023</v>
      </c>
      <c r="L227" s="379">
        <v>0.26446901811691875</v>
      </c>
    </row>
    <row r="228" spans="1:12" s="184" customFormat="1" x14ac:dyDescent="0.25">
      <c r="A228" s="34" t="s">
        <v>495</v>
      </c>
      <c r="B228" s="174" t="s">
        <v>2165</v>
      </c>
      <c r="C228" s="383" t="s">
        <v>2165</v>
      </c>
      <c r="D228" s="383" t="s">
        <v>2165</v>
      </c>
      <c r="E228" s="384" t="s">
        <v>496</v>
      </c>
      <c r="F228" s="174"/>
      <c r="G228" s="175"/>
      <c r="H228" s="385" t="s">
        <v>2165</v>
      </c>
      <c r="I228" s="386" t="s">
        <v>2165</v>
      </c>
      <c r="J228" s="387" t="s">
        <v>2165</v>
      </c>
      <c r="K228" s="282" t="s">
        <v>2165</v>
      </c>
      <c r="L228" s="285" t="s">
        <v>2165</v>
      </c>
    </row>
    <row r="229" spans="1:12" s="182" customFormat="1" ht="30" x14ac:dyDescent="0.25">
      <c r="A229" s="375" t="s">
        <v>663</v>
      </c>
      <c r="B229" s="376" t="s">
        <v>663</v>
      </c>
      <c r="C229" s="370" t="s">
        <v>2165</v>
      </c>
      <c r="D229" s="370" t="s">
        <v>2165</v>
      </c>
      <c r="E229" s="371" t="s">
        <v>1496</v>
      </c>
      <c r="F229" s="376" t="s">
        <v>29</v>
      </c>
      <c r="G229" s="377"/>
      <c r="H229" s="372" t="s">
        <v>2165</v>
      </c>
      <c r="I229" s="373" t="s">
        <v>2165</v>
      </c>
      <c r="J229" s="374">
        <v>4.8899999999999997</v>
      </c>
      <c r="K229" s="378">
        <v>7001020211</v>
      </c>
      <c r="L229" s="379">
        <v>0</v>
      </c>
    </row>
    <row r="230" spans="1:12" s="184" customFormat="1" x14ac:dyDescent="0.25">
      <c r="A230" s="34" t="s">
        <v>497</v>
      </c>
      <c r="B230" s="174" t="s">
        <v>2165</v>
      </c>
      <c r="C230" s="383" t="s">
        <v>2165</v>
      </c>
      <c r="D230" s="383" t="s">
        <v>2165</v>
      </c>
      <c r="E230" s="384" t="s">
        <v>498</v>
      </c>
      <c r="F230" s="174"/>
      <c r="G230" s="175"/>
      <c r="H230" s="385" t="s">
        <v>2165</v>
      </c>
      <c r="I230" s="386" t="s">
        <v>2165</v>
      </c>
      <c r="J230" s="387" t="s">
        <v>2165</v>
      </c>
      <c r="K230" s="282" t="s">
        <v>2165</v>
      </c>
      <c r="L230" s="285" t="s">
        <v>2165</v>
      </c>
    </row>
    <row r="231" spans="1:12" s="182" customFormat="1" ht="30" x14ac:dyDescent="0.25">
      <c r="A231" s="375" t="s">
        <v>664</v>
      </c>
      <c r="B231" s="376" t="s">
        <v>664</v>
      </c>
      <c r="C231" s="370" t="s">
        <v>2165</v>
      </c>
      <c r="D231" s="370" t="s">
        <v>2165</v>
      </c>
      <c r="E231" s="371" t="s">
        <v>1497</v>
      </c>
      <c r="F231" s="376" t="s">
        <v>34</v>
      </c>
      <c r="G231" s="377"/>
      <c r="H231" s="372" t="s">
        <v>2165</v>
      </c>
      <c r="I231" s="373" t="s">
        <v>2165</v>
      </c>
      <c r="J231" s="374">
        <v>28.79</v>
      </c>
      <c r="K231" s="378">
        <v>7001020024</v>
      </c>
      <c r="L231" s="379">
        <v>0.22992646678441839</v>
      </c>
    </row>
    <row r="232" spans="1:12" s="182" customFormat="1" ht="30" x14ac:dyDescent="0.25">
      <c r="A232" s="375" t="s">
        <v>665</v>
      </c>
      <c r="B232" s="376" t="s">
        <v>665</v>
      </c>
      <c r="C232" s="370" t="s">
        <v>2165</v>
      </c>
      <c r="D232" s="370" t="s">
        <v>2165</v>
      </c>
      <c r="E232" s="371" t="s">
        <v>1498</v>
      </c>
      <c r="F232" s="376" t="s">
        <v>34</v>
      </c>
      <c r="G232" s="377"/>
      <c r="H232" s="372" t="s">
        <v>2165</v>
      </c>
      <c r="I232" s="373" t="s">
        <v>2165</v>
      </c>
      <c r="J232" s="374">
        <v>4.8</v>
      </c>
      <c r="K232" s="378">
        <v>7001020035</v>
      </c>
      <c r="L232" s="379">
        <v>0.28076562500000007</v>
      </c>
    </row>
    <row r="233" spans="1:12" s="182" customFormat="1" ht="30" x14ac:dyDescent="0.25">
      <c r="A233" s="375" t="s">
        <v>666</v>
      </c>
      <c r="B233" s="376" t="s">
        <v>666</v>
      </c>
      <c r="C233" s="370" t="s">
        <v>2165</v>
      </c>
      <c r="D233" s="370" t="s">
        <v>2165</v>
      </c>
      <c r="E233" s="371" t="s">
        <v>1499</v>
      </c>
      <c r="F233" s="376" t="s">
        <v>34</v>
      </c>
      <c r="G233" s="377"/>
      <c r="H233" s="372" t="s">
        <v>2165</v>
      </c>
      <c r="I233" s="373" t="s">
        <v>2165</v>
      </c>
      <c r="J233" s="374">
        <v>22.89</v>
      </c>
      <c r="K233" s="378">
        <v>7001020049</v>
      </c>
      <c r="L233" s="379">
        <v>3.2927693037003991E-2</v>
      </c>
    </row>
    <row r="234" spans="1:12" s="182" customFormat="1" ht="30" x14ac:dyDescent="0.25">
      <c r="A234" s="375" t="s">
        <v>667</v>
      </c>
      <c r="B234" s="376" t="s">
        <v>667</v>
      </c>
      <c r="C234" s="370" t="s">
        <v>2165</v>
      </c>
      <c r="D234" s="370" t="s">
        <v>2165</v>
      </c>
      <c r="E234" s="371" t="s">
        <v>1500</v>
      </c>
      <c r="F234" s="376" t="s">
        <v>34</v>
      </c>
      <c r="G234" s="377"/>
      <c r="H234" s="372" t="s">
        <v>2165</v>
      </c>
      <c r="I234" s="373" t="s">
        <v>2165</v>
      </c>
      <c r="J234" s="374">
        <v>4.8</v>
      </c>
      <c r="K234" s="378">
        <v>7001020708</v>
      </c>
      <c r="L234" s="379">
        <v>0.28076562500000007</v>
      </c>
    </row>
    <row r="235" spans="1:12" s="183" customFormat="1" x14ac:dyDescent="0.25">
      <c r="A235" s="34" t="s">
        <v>499</v>
      </c>
      <c r="B235" s="174" t="s">
        <v>2165</v>
      </c>
      <c r="C235" s="383" t="s">
        <v>2165</v>
      </c>
      <c r="D235" s="383" t="s">
        <v>2165</v>
      </c>
      <c r="E235" s="384" t="s">
        <v>500</v>
      </c>
      <c r="F235" s="174"/>
      <c r="G235" s="175"/>
      <c r="H235" s="385" t="s">
        <v>2165</v>
      </c>
      <c r="I235" s="386" t="s">
        <v>2165</v>
      </c>
      <c r="J235" s="387" t="s">
        <v>2165</v>
      </c>
      <c r="K235" s="282" t="s">
        <v>2165</v>
      </c>
      <c r="L235" s="285" t="s">
        <v>2165</v>
      </c>
    </row>
    <row r="236" spans="1:12" s="183" customFormat="1" x14ac:dyDescent="0.25">
      <c r="A236" s="34" t="s">
        <v>501</v>
      </c>
      <c r="B236" s="174" t="s">
        <v>2165</v>
      </c>
      <c r="C236" s="383" t="s">
        <v>2165</v>
      </c>
      <c r="D236" s="383" t="s">
        <v>2165</v>
      </c>
      <c r="E236" s="384" t="s">
        <v>502</v>
      </c>
      <c r="F236" s="174"/>
      <c r="G236" s="175"/>
      <c r="H236" s="385" t="s">
        <v>2165</v>
      </c>
      <c r="I236" s="386" t="s">
        <v>2165</v>
      </c>
      <c r="J236" s="387" t="s">
        <v>2165</v>
      </c>
      <c r="K236" s="282" t="s">
        <v>2165</v>
      </c>
      <c r="L236" s="285" t="s">
        <v>2165</v>
      </c>
    </row>
    <row r="237" spans="1:12" s="181" customFormat="1" x14ac:dyDescent="0.25">
      <c r="A237" s="375" t="s">
        <v>668</v>
      </c>
      <c r="B237" s="376" t="s">
        <v>668</v>
      </c>
      <c r="C237" s="370" t="s">
        <v>2165</v>
      </c>
      <c r="D237" s="370" t="s">
        <v>2165</v>
      </c>
      <c r="E237" s="371" t="s">
        <v>1501</v>
      </c>
      <c r="F237" s="376" t="s">
        <v>34</v>
      </c>
      <c r="G237" s="377"/>
      <c r="H237" s="372" t="s">
        <v>2165</v>
      </c>
      <c r="I237" s="373" t="s">
        <v>2165</v>
      </c>
      <c r="J237" s="374">
        <v>50.49</v>
      </c>
      <c r="K237" s="378">
        <v>7001020060</v>
      </c>
      <c r="L237" s="379">
        <v>0</v>
      </c>
    </row>
    <row r="238" spans="1:12" s="181" customFormat="1" ht="30" x14ac:dyDescent="0.25">
      <c r="A238" s="375" t="s">
        <v>669</v>
      </c>
      <c r="B238" s="376" t="s">
        <v>669</v>
      </c>
      <c r="C238" s="370" t="s">
        <v>2165</v>
      </c>
      <c r="D238" s="370" t="s">
        <v>2165</v>
      </c>
      <c r="E238" s="371" t="s">
        <v>2272</v>
      </c>
      <c r="F238" s="376" t="s">
        <v>34</v>
      </c>
      <c r="G238" s="377"/>
      <c r="H238" s="372" t="s">
        <v>2165</v>
      </c>
      <c r="I238" s="373" t="s">
        <v>2165</v>
      </c>
      <c r="J238" s="374">
        <v>97.17</v>
      </c>
      <c r="K238" s="378">
        <v>7001020061</v>
      </c>
      <c r="L238" s="379">
        <v>0.4803951836986724</v>
      </c>
    </row>
    <row r="239" spans="1:12" ht="54.75" customHeight="1" x14ac:dyDescent="0.25">
      <c r="A239" s="375" t="s">
        <v>670</v>
      </c>
      <c r="B239" s="376" t="s">
        <v>670</v>
      </c>
      <c r="C239" s="370" t="s">
        <v>2165</v>
      </c>
      <c r="D239" s="370" t="s">
        <v>2165</v>
      </c>
      <c r="E239" s="371" t="s">
        <v>2286</v>
      </c>
      <c r="F239" s="376" t="s">
        <v>34</v>
      </c>
      <c r="G239" s="377"/>
      <c r="H239" s="372" t="s">
        <v>2165</v>
      </c>
      <c r="I239" s="373" t="s">
        <v>2165</v>
      </c>
      <c r="J239" s="374">
        <v>10.100000000000001</v>
      </c>
      <c r="K239" s="378">
        <v>7001020914</v>
      </c>
      <c r="L239" s="379">
        <v>8.4894300240834913E-3</v>
      </c>
    </row>
    <row r="240" spans="1:12" ht="59.25" customHeight="1" x14ac:dyDescent="0.25">
      <c r="A240" s="375" t="s">
        <v>671</v>
      </c>
      <c r="B240" s="376" t="s">
        <v>671</v>
      </c>
      <c r="C240" s="370" t="s">
        <v>2165</v>
      </c>
      <c r="D240" s="370" t="s">
        <v>2165</v>
      </c>
      <c r="E240" s="371" t="s">
        <v>2084</v>
      </c>
      <c r="F240" s="376" t="s">
        <v>34</v>
      </c>
      <c r="G240" s="377"/>
      <c r="H240" s="372" t="s">
        <v>2165</v>
      </c>
      <c r="I240" s="373" t="s">
        <v>2165</v>
      </c>
      <c r="J240" s="374">
        <v>88.350000000000009</v>
      </c>
      <c r="K240" s="378">
        <v>7001020086</v>
      </c>
      <c r="L240" s="379">
        <v>2.3877260719365988E-3</v>
      </c>
    </row>
    <row r="241" spans="1:12" s="182" customFormat="1" ht="45" x14ac:dyDescent="0.25">
      <c r="A241" s="375" t="s">
        <v>2035</v>
      </c>
      <c r="B241" s="376" t="s">
        <v>2035</v>
      </c>
      <c r="C241" s="370" t="s">
        <v>2165</v>
      </c>
      <c r="D241" s="370" t="s">
        <v>2165</v>
      </c>
      <c r="E241" s="371" t="s">
        <v>2038</v>
      </c>
      <c r="F241" s="376" t="s">
        <v>34</v>
      </c>
      <c r="G241" s="377"/>
      <c r="H241" s="372" t="s">
        <v>2165</v>
      </c>
      <c r="I241" s="373" t="s">
        <v>2165</v>
      </c>
      <c r="J241" s="374">
        <v>112.16</v>
      </c>
      <c r="K241" s="378">
        <v>7001020885</v>
      </c>
      <c r="L241" s="379">
        <v>5.1469512718549798E-2</v>
      </c>
    </row>
    <row r="242" spans="1:12" ht="30" x14ac:dyDescent="0.25">
      <c r="A242" s="375" t="s">
        <v>672</v>
      </c>
      <c r="B242" s="376" t="s">
        <v>672</v>
      </c>
      <c r="C242" s="370" t="s">
        <v>2165</v>
      </c>
      <c r="D242" s="370" t="s">
        <v>2165</v>
      </c>
      <c r="E242" s="371" t="s">
        <v>2085</v>
      </c>
      <c r="F242" s="376" t="s">
        <v>34</v>
      </c>
      <c r="G242" s="377"/>
      <c r="H242" s="372" t="s">
        <v>2165</v>
      </c>
      <c r="I242" s="373" t="s">
        <v>2165</v>
      </c>
      <c r="J242" s="374">
        <v>127.67</v>
      </c>
      <c r="K242" s="378">
        <v>7001020087</v>
      </c>
      <c r="L242" s="379">
        <v>1.652350579271548E-3</v>
      </c>
    </row>
    <row r="243" spans="1:12" ht="45" x14ac:dyDescent="0.25">
      <c r="A243" s="375" t="s">
        <v>673</v>
      </c>
      <c r="B243" s="376" t="s">
        <v>673</v>
      </c>
      <c r="C243" s="370" t="s">
        <v>2165</v>
      </c>
      <c r="D243" s="370" t="s">
        <v>2165</v>
      </c>
      <c r="E243" s="371" t="s">
        <v>2086</v>
      </c>
      <c r="F243" s="376" t="s">
        <v>34</v>
      </c>
      <c r="G243" s="377"/>
      <c r="H243" s="372" t="s">
        <v>2165</v>
      </c>
      <c r="I243" s="373" t="s">
        <v>2165</v>
      </c>
      <c r="J243" s="374">
        <v>141.37</v>
      </c>
      <c r="K243" s="378">
        <v>7001020709</v>
      </c>
      <c r="L243" s="379">
        <v>3.9689192099123471E-2</v>
      </c>
    </row>
    <row r="244" spans="1:12" ht="45" x14ac:dyDescent="0.25">
      <c r="A244" s="375" t="s">
        <v>674</v>
      </c>
      <c r="B244" s="376" t="s">
        <v>674</v>
      </c>
      <c r="C244" s="370" t="s">
        <v>2165</v>
      </c>
      <c r="D244" s="370" t="s">
        <v>2165</v>
      </c>
      <c r="E244" s="371" t="s">
        <v>2287</v>
      </c>
      <c r="F244" s="376" t="s">
        <v>34</v>
      </c>
      <c r="G244" s="377"/>
      <c r="H244" s="372" t="s">
        <v>2165</v>
      </c>
      <c r="I244" s="373" t="s">
        <v>2165</v>
      </c>
      <c r="J244" s="374">
        <v>261.67999999999995</v>
      </c>
      <c r="K244" s="378">
        <v>7001020915</v>
      </c>
      <c r="L244" s="379">
        <v>0.12767502292876795</v>
      </c>
    </row>
    <row r="245" spans="1:12" ht="45" x14ac:dyDescent="0.25">
      <c r="A245" s="375" t="s">
        <v>675</v>
      </c>
      <c r="B245" s="376" t="s">
        <v>675</v>
      </c>
      <c r="C245" s="370" t="s">
        <v>2165</v>
      </c>
      <c r="D245" s="370" t="s">
        <v>2165</v>
      </c>
      <c r="E245" s="371" t="s">
        <v>2288</v>
      </c>
      <c r="F245" s="376" t="s">
        <v>34</v>
      </c>
      <c r="G245" s="377"/>
      <c r="H245" s="372" t="s">
        <v>2165</v>
      </c>
      <c r="I245" s="373" t="s">
        <v>2165</v>
      </c>
      <c r="J245" s="374">
        <v>245.84</v>
      </c>
      <c r="K245" s="378">
        <v>7001020916</v>
      </c>
      <c r="L245" s="379">
        <v>0.13590139928408718</v>
      </c>
    </row>
    <row r="246" spans="1:12" ht="45" x14ac:dyDescent="0.25">
      <c r="A246" s="375" t="s">
        <v>676</v>
      </c>
      <c r="B246" s="376" t="s">
        <v>676</v>
      </c>
      <c r="C246" s="370" t="s">
        <v>2165</v>
      </c>
      <c r="D246" s="370" t="s">
        <v>2165</v>
      </c>
      <c r="E246" s="371" t="s">
        <v>2289</v>
      </c>
      <c r="F246" s="376" t="s">
        <v>34</v>
      </c>
      <c r="G246" s="377"/>
      <c r="H246" s="372" t="s">
        <v>2165</v>
      </c>
      <c r="I246" s="373" t="s">
        <v>2165</v>
      </c>
      <c r="J246" s="374">
        <v>211.82</v>
      </c>
      <c r="K246" s="378">
        <v>7001020917</v>
      </c>
      <c r="L246" s="379">
        <v>0.15813305279597409</v>
      </c>
    </row>
    <row r="247" spans="1:12" ht="45" x14ac:dyDescent="0.25">
      <c r="A247" s="375" t="s">
        <v>677</v>
      </c>
      <c r="B247" s="376" t="s">
        <v>677</v>
      </c>
      <c r="C247" s="370" t="s">
        <v>2165</v>
      </c>
      <c r="D247" s="370" t="s">
        <v>2165</v>
      </c>
      <c r="E247" s="371" t="s">
        <v>2290</v>
      </c>
      <c r="F247" s="376" t="s">
        <v>34</v>
      </c>
      <c r="G247" s="377"/>
      <c r="H247" s="372" t="s">
        <v>2165</v>
      </c>
      <c r="I247" s="373" t="s">
        <v>2165</v>
      </c>
      <c r="J247" s="374">
        <v>195.98</v>
      </c>
      <c r="K247" s="378">
        <v>7001020918</v>
      </c>
      <c r="L247" s="379">
        <v>0.17091408941342603</v>
      </c>
    </row>
    <row r="248" spans="1:12" ht="30" x14ac:dyDescent="0.25">
      <c r="A248" s="375" t="s">
        <v>678</v>
      </c>
      <c r="B248" s="376" t="s">
        <v>678</v>
      </c>
      <c r="C248" s="370" t="s">
        <v>2165</v>
      </c>
      <c r="D248" s="370" t="s">
        <v>2165</v>
      </c>
      <c r="E248" s="371" t="s">
        <v>1502</v>
      </c>
      <c r="F248" s="376" t="s">
        <v>34</v>
      </c>
      <c r="G248" s="377"/>
      <c r="H248" s="372" t="s">
        <v>2165</v>
      </c>
      <c r="I248" s="373" t="s">
        <v>2165</v>
      </c>
      <c r="J248" s="374">
        <v>5.46</v>
      </c>
      <c r="K248" s="378">
        <v>7001020088</v>
      </c>
      <c r="L248" s="379">
        <v>0.27512383412164121</v>
      </c>
    </row>
    <row r="249" spans="1:12" x14ac:dyDescent="0.25">
      <c r="A249" s="375" t="s">
        <v>679</v>
      </c>
      <c r="B249" s="376" t="s">
        <v>679</v>
      </c>
      <c r="C249" s="370" t="s">
        <v>2165</v>
      </c>
      <c r="D249" s="370" t="s">
        <v>2165</v>
      </c>
      <c r="E249" s="371" t="s">
        <v>1503</v>
      </c>
      <c r="F249" s="376" t="s">
        <v>29</v>
      </c>
      <c r="G249" s="377"/>
      <c r="H249" s="372" t="s">
        <v>2165</v>
      </c>
      <c r="I249" s="373" t="s">
        <v>2165</v>
      </c>
      <c r="J249" s="374">
        <v>0.63</v>
      </c>
      <c r="K249" s="378">
        <v>7001020419</v>
      </c>
      <c r="L249" s="379">
        <v>1.0801617944475091E-2</v>
      </c>
    </row>
    <row r="250" spans="1:12" s="10" customFormat="1" x14ac:dyDescent="0.25">
      <c r="A250" s="34" t="s">
        <v>503</v>
      </c>
      <c r="B250" s="174" t="s">
        <v>2165</v>
      </c>
      <c r="C250" s="383" t="s">
        <v>2165</v>
      </c>
      <c r="D250" s="383" t="s">
        <v>2165</v>
      </c>
      <c r="E250" s="384" t="s">
        <v>2090</v>
      </c>
      <c r="F250" s="174"/>
      <c r="G250" s="175"/>
      <c r="H250" s="385" t="s">
        <v>2165</v>
      </c>
      <c r="I250" s="386" t="s">
        <v>2165</v>
      </c>
      <c r="J250" s="387" t="s">
        <v>2165</v>
      </c>
      <c r="K250" s="282" t="s">
        <v>2165</v>
      </c>
      <c r="L250" s="285" t="s">
        <v>2165</v>
      </c>
    </row>
    <row r="251" spans="1:12" x14ac:dyDescent="0.25">
      <c r="A251" s="375" t="s">
        <v>680</v>
      </c>
      <c r="B251" s="376" t="s">
        <v>680</v>
      </c>
      <c r="C251" s="370" t="s">
        <v>2165</v>
      </c>
      <c r="D251" s="370" t="s">
        <v>2165</v>
      </c>
      <c r="E251" s="371" t="s">
        <v>2087</v>
      </c>
      <c r="F251" s="376" t="s">
        <v>34</v>
      </c>
      <c r="G251" s="377"/>
      <c r="H251" s="372" t="s">
        <v>2165</v>
      </c>
      <c r="I251" s="373" t="s">
        <v>2165</v>
      </c>
      <c r="J251" s="374">
        <v>9.4700000000000006</v>
      </c>
      <c r="K251" s="378">
        <v>7001020094</v>
      </c>
      <c r="L251" s="379">
        <v>0</v>
      </c>
    </row>
    <row r="252" spans="1:12" x14ac:dyDescent="0.25">
      <c r="A252" s="375" t="s">
        <v>681</v>
      </c>
      <c r="B252" s="376" t="s">
        <v>681</v>
      </c>
      <c r="C252" s="370" t="s">
        <v>2165</v>
      </c>
      <c r="D252" s="370" t="s">
        <v>2165</v>
      </c>
      <c r="E252" s="371" t="s">
        <v>2088</v>
      </c>
      <c r="F252" s="376" t="s">
        <v>34</v>
      </c>
      <c r="G252" s="377"/>
      <c r="H252" s="372" t="s">
        <v>2165</v>
      </c>
      <c r="I252" s="373" t="s">
        <v>2165</v>
      </c>
      <c r="J252" s="374">
        <v>46.82</v>
      </c>
      <c r="K252" s="378">
        <v>7001020420</v>
      </c>
      <c r="L252" s="379">
        <v>0.79773601025202912</v>
      </c>
    </row>
    <row r="253" spans="1:12" x14ac:dyDescent="0.25">
      <c r="A253" s="375" t="s">
        <v>682</v>
      </c>
      <c r="B253" s="376" t="s">
        <v>682</v>
      </c>
      <c r="C253" s="370" t="s">
        <v>2165</v>
      </c>
      <c r="D253" s="370" t="s">
        <v>2165</v>
      </c>
      <c r="E253" s="371" t="s">
        <v>2089</v>
      </c>
      <c r="F253" s="376" t="s">
        <v>34</v>
      </c>
      <c r="G253" s="377"/>
      <c r="H253" s="372" t="s">
        <v>2165</v>
      </c>
      <c r="I253" s="373" t="s">
        <v>2165</v>
      </c>
      <c r="J253" s="374">
        <v>73.97</v>
      </c>
      <c r="K253" s="378">
        <v>7001020096</v>
      </c>
      <c r="L253" s="379">
        <v>0</v>
      </c>
    </row>
    <row r="254" spans="1:12" x14ac:dyDescent="0.25">
      <c r="A254" s="375" t="s">
        <v>683</v>
      </c>
      <c r="B254" s="376" t="s">
        <v>683</v>
      </c>
      <c r="C254" s="370" t="s">
        <v>2165</v>
      </c>
      <c r="D254" s="370" t="s">
        <v>2165</v>
      </c>
      <c r="E254" s="371" t="s">
        <v>2091</v>
      </c>
      <c r="F254" s="376" t="s">
        <v>34</v>
      </c>
      <c r="G254" s="377"/>
      <c r="H254" s="372" t="s">
        <v>2165</v>
      </c>
      <c r="I254" s="373" t="s">
        <v>2165</v>
      </c>
      <c r="J254" s="374">
        <v>108.16</v>
      </c>
      <c r="K254" s="378">
        <v>7001020421</v>
      </c>
      <c r="L254" s="379">
        <v>0</v>
      </c>
    </row>
    <row r="255" spans="1:12" x14ac:dyDescent="0.25">
      <c r="A255" s="375" t="s">
        <v>684</v>
      </c>
      <c r="B255" s="376" t="s">
        <v>684</v>
      </c>
      <c r="C255" s="370" t="s">
        <v>2165</v>
      </c>
      <c r="D255" s="370" t="s">
        <v>2165</v>
      </c>
      <c r="E255" s="371" t="s">
        <v>1504</v>
      </c>
      <c r="F255" s="376" t="s">
        <v>34</v>
      </c>
      <c r="G255" s="377"/>
      <c r="H255" s="372" t="s">
        <v>2165</v>
      </c>
      <c r="I255" s="373" t="s">
        <v>2165</v>
      </c>
      <c r="J255" s="374">
        <v>3.15</v>
      </c>
      <c r="K255" s="378">
        <v>7001020098</v>
      </c>
      <c r="L255" s="379">
        <v>0</v>
      </c>
    </row>
    <row r="256" spans="1:12" ht="30" x14ac:dyDescent="0.25">
      <c r="A256" s="375" t="s">
        <v>685</v>
      </c>
      <c r="B256" s="376" t="s">
        <v>685</v>
      </c>
      <c r="C256" s="370" t="s">
        <v>2165</v>
      </c>
      <c r="D256" s="370" t="s">
        <v>2165</v>
      </c>
      <c r="E256" s="371" t="s">
        <v>2291</v>
      </c>
      <c r="F256" s="376" t="s">
        <v>34</v>
      </c>
      <c r="G256" s="377"/>
      <c r="H256" s="372" t="s">
        <v>2165</v>
      </c>
      <c r="I256" s="373" t="s">
        <v>2165</v>
      </c>
      <c r="J256" s="374">
        <v>8.1999999999999993</v>
      </c>
      <c r="K256" s="378">
        <v>7001020919</v>
      </c>
      <c r="L256" s="379">
        <v>0</v>
      </c>
    </row>
    <row r="257" spans="1:12" s="10" customFormat="1" x14ac:dyDescent="0.25">
      <c r="A257" s="34" t="s">
        <v>504</v>
      </c>
      <c r="B257" s="174" t="s">
        <v>2165</v>
      </c>
      <c r="C257" s="383" t="s">
        <v>2165</v>
      </c>
      <c r="D257" s="383" t="s">
        <v>2165</v>
      </c>
      <c r="E257" s="384" t="s">
        <v>505</v>
      </c>
      <c r="F257" s="174"/>
      <c r="G257" s="175"/>
      <c r="H257" s="385" t="s">
        <v>2165</v>
      </c>
      <c r="I257" s="386" t="s">
        <v>2165</v>
      </c>
      <c r="J257" s="387" t="s">
        <v>2165</v>
      </c>
      <c r="K257" s="282" t="s">
        <v>2165</v>
      </c>
      <c r="L257" s="285" t="s">
        <v>2165</v>
      </c>
    </row>
    <row r="258" spans="1:12" ht="30" x14ac:dyDescent="0.25">
      <c r="A258" s="375" t="s">
        <v>686</v>
      </c>
      <c r="B258" s="376" t="s">
        <v>686</v>
      </c>
      <c r="C258" s="370" t="s">
        <v>2165</v>
      </c>
      <c r="D258" s="370" t="s">
        <v>2165</v>
      </c>
      <c r="E258" s="371" t="s">
        <v>1505</v>
      </c>
      <c r="F258" s="376" t="s">
        <v>23</v>
      </c>
      <c r="G258" s="377"/>
      <c r="H258" s="372" t="s">
        <v>2165</v>
      </c>
      <c r="I258" s="373" t="s">
        <v>2165</v>
      </c>
      <c r="J258" s="374">
        <v>108.57000000000001</v>
      </c>
      <c r="K258" s="378">
        <v>7001020104</v>
      </c>
      <c r="L258" s="379">
        <v>0.54791062900783916</v>
      </c>
    </row>
    <row r="259" spans="1:12" ht="30" x14ac:dyDescent="0.25">
      <c r="A259" s="375" t="s">
        <v>687</v>
      </c>
      <c r="B259" s="376" t="s">
        <v>687</v>
      </c>
      <c r="C259" s="370" t="s">
        <v>2165</v>
      </c>
      <c r="D259" s="370" t="s">
        <v>2165</v>
      </c>
      <c r="E259" s="371" t="s">
        <v>1506</v>
      </c>
      <c r="F259" s="376" t="s">
        <v>23</v>
      </c>
      <c r="G259" s="377"/>
      <c r="H259" s="372" t="s">
        <v>2165</v>
      </c>
      <c r="I259" s="373" t="s">
        <v>2165</v>
      </c>
      <c r="J259" s="374">
        <v>160.31</v>
      </c>
      <c r="K259" s="378">
        <v>7001020105</v>
      </c>
      <c r="L259" s="379">
        <v>0.51898676241033626</v>
      </c>
    </row>
    <row r="260" spans="1:12" x14ac:dyDescent="0.25">
      <c r="A260" s="375" t="s">
        <v>688</v>
      </c>
      <c r="B260" s="376" t="s">
        <v>688</v>
      </c>
      <c r="C260" s="370" t="s">
        <v>2165</v>
      </c>
      <c r="D260" s="370" t="s">
        <v>2165</v>
      </c>
      <c r="E260" s="371" t="s">
        <v>1507</v>
      </c>
      <c r="F260" s="376" t="s">
        <v>20</v>
      </c>
      <c r="G260" s="377"/>
      <c r="H260" s="372" t="s">
        <v>2165</v>
      </c>
      <c r="I260" s="373" t="s">
        <v>2165</v>
      </c>
      <c r="J260" s="374">
        <v>0.73</v>
      </c>
      <c r="K260" s="378">
        <v>7001381098</v>
      </c>
      <c r="L260" s="379">
        <v>0</v>
      </c>
    </row>
    <row r="261" spans="1:12" s="10" customFormat="1" x14ac:dyDescent="0.25">
      <c r="A261" s="34" t="s">
        <v>506</v>
      </c>
      <c r="B261" s="174" t="s">
        <v>2165</v>
      </c>
      <c r="C261" s="383" t="s">
        <v>2165</v>
      </c>
      <c r="D261" s="383" t="s">
        <v>2165</v>
      </c>
      <c r="E261" s="384" t="s">
        <v>507</v>
      </c>
      <c r="F261" s="174"/>
      <c r="G261" s="175"/>
      <c r="H261" s="385" t="s">
        <v>2165</v>
      </c>
      <c r="I261" s="386" t="s">
        <v>2165</v>
      </c>
      <c r="J261" s="387" t="s">
        <v>2165</v>
      </c>
      <c r="K261" s="282" t="s">
        <v>2165</v>
      </c>
      <c r="L261" s="285" t="s">
        <v>2165</v>
      </c>
    </row>
    <row r="262" spans="1:12" x14ac:dyDescent="0.25">
      <c r="A262" s="375" t="s">
        <v>689</v>
      </c>
      <c r="B262" s="376" t="s">
        <v>689</v>
      </c>
      <c r="C262" s="370" t="s">
        <v>2165</v>
      </c>
      <c r="D262" s="370" t="s">
        <v>2165</v>
      </c>
      <c r="E262" s="371" t="s">
        <v>1508</v>
      </c>
      <c r="F262" s="376" t="s">
        <v>29</v>
      </c>
      <c r="G262" s="377"/>
      <c r="H262" s="372" t="s">
        <v>2165</v>
      </c>
      <c r="I262" s="373" t="s">
        <v>2165</v>
      </c>
      <c r="J262" s="374">
        <v>10.52</v>
      </c>
      <c r="K262" s="378">
        <v>7001020106</v>
      </c>
      <c r="L262" s="379">
        <v>0</v>
      </c>
    </row>
    <row r="263" spans="1:12" s="10" customFormat="1" x14ac:dyDescent="0.25">
      <c r="A263" s="34" t="s">
        <v>508</v>
      </c>
      <c r="B263" s="174" t="s">
        <v>2165</v>
      </c>
      <c r="C263" s="383" t="s">
        <v>2165</v>
      </c>
      <c r="D263" s="383" t="s">
        <v>2165</v>
      </c>
      <c r="E263" s="384" t="s">
        <v>509</v>
      </c>
      <c r="F263" s="174"/>
      <c r="G263" s="175"/>
      <c r="H263" s="385" t="s">
        <v>2165</v>
      </c>
      <c r="I263" s="386" t="s">
        <v>2165</v>
      </c>
      <c r="J263" s="387" t="s">
        <v>2165</v>
      </c>
      <c r="K263" s="282" t="s">
        <v>2165</v>
      </c>
      <c r="L263" s="285" t="s">
        <v>2165</v>
      </c>
    </row>
    <row r="264" spans="1:12" ht="30" x14ac:dyDescent="0.25">
      <c r="A264" s="375" t="s">
        <v>690</v>
      </c>
      <c r="B264" s="376" t="s">
        <v>690</v>
      </c>
      <c r="C264" s="370" t="s">
        <v>2165</v>
      </c>
      <c r="D264" s="370" t="s">
        <v>2165</v>
      </c>
      <c r="E264" s="371" t="s">
        <v>1509</v>
      </c>
      <c r="F264" s="376" t="s">
        <v>28</v>
      </c>
      <c r="G264" s="377"/>
      <c r="H264" s="372" t="s">
        <v>2165</v>
      </c>
      <c r="I264" s="373" t="s">
        <v>2165</v>
      </c>
      <c r="J264" s="374">
        <v>5698.0599999999995</v>
      </c>
      <c r="K264" s="378">
        <v>7001020118</v>
      </c>
      <c r="L264" s="379">
        <v>0.17847205222036769</v>
      </c>
    </row>
    <row r="265" spans="1:12" s="10" customFormat="1" x14ac:dyDescent="0.25">
      <c r="A265" s="34" t="s">
        <v>510</v>
      </c>
      <c r="B265" s="174" t="s">
        <v>2165</v>
      </c>
      <c r="C265" s="383" t="s">
        <v>2165</v>
      </c>
      <c r="D265" s="383" t="s">
        <v>2165</v>
      </c>
      <c r="E265" s="384" t="s">
        <v>511</v>
      </c>
      <c r="F265" s="174"/>
      <c r="G265" s="175"/>
      <c r="H265" s="385" t="s">
        <v>2165</v>
      </c>
      <c r="I265" s="386" t="s">
        <v>2165</v>
      </c>
      <c r="J265" s="387" t="s">
        <v>2165</v>
      </c>
      <c r="K265" s="282" t="s">
        <v>2165</v>
      </c>
      <c r="L265" s="285" t="s">
        <v>2165</v>
      </c>
    </row>
    <row r="266" spans="1:12" s="10" customFormat="1" x14ac:dyDescent="0.25">
      <c r="A266" s="34">
        <v>9</v>
      </c>
      <c r="B266" s="174" t="s">
        <v>2165</v>
      </c>
      <c r="C266" s="383" t="s">
        <v>2165</v>
      </c>
      <c r="D266" s="383" t="s">
        <v>2165</v>
      </c>
      <c r="E266" s="384" t="s">
        <v>512</v>
      </c>
      <c r="F266" s="174"/>
      <c r="G266" s="175"/>
      <c r="H266" s="385" t="s">
        <v>2165</v>
      </c>
      <c r="I266" s="386" t="s">
        <v>2165</v>
      </c>
      <c r="J266" s="387" t="s">
        <v>2165</v>
      </c>
      <c r="K266" s="282" t="s">
        <v>2165</v>
      </c>
      <c r="L266" s="285" t="s">
        <v>2165</v>
      </c>
    </row>
    <row r="267" spans="1:12" ht="39.75" customHeight="1" x14ac:dyDescent="0.25">
      <c r="A267" s="375" t="s">
        <v>691</v>
      </c>
      <c r="B267" s="376" t="s">
        <v>691</v>
      </c>
      <c r="C267" s="370" t="s">
        <v>2165</v>
      </c>
      <c r="D267" s="370" t="s">
        <v>2165</v>
      </c>
      <c r="E267" s="371" t="s">
        <v>1510</v>
      </c>
      <c r="F267" s="376" t="s">
        <v>62</v>
      </c>
      <c r="G267" s="377"/>
      <c r="H267" s="372" t="s">
        <v>2165</v>
      </c>
      <c r="I267" s="373" t="s">
        <v>2165</v>
      </c>
      <c r="J267" s="374">
        <v>1.37</v>
      </c>
      <c r="K267" s="378">
        <v>7001381218</v>
      </c>
      <c r="L267" s="379">
        <v>0.38921299807479148</v>
      </c>
    </row>
    <row r="268" spans="1:12" s="10" customFormat="1" x14ac:dyDescent="0.25">
      <c r="A268" s="34">
        <v>10</v>
      </c>
      <c r="B268" s="174" t="s">
        <v>2165</v>
      </c>
      <c r="C268" s="383" t="s">
        <v>2165</v>
      </c>
      <c r="D268" s="383" t="s">
        <v>2165</v>
      </c>
      <c r="E268" s="384" t="s">
        <v>513</v>
      </c>
      <c r="F268" s="174"/>
      <c r="G268" s="175"/>
      <c r="H268" s="385" t="s">
        <v>2165</v>
      </c>
      <c r="I268" s="386" t="s">
        <v>2165</v>
      </c>
      <c r="J268" s="387" t="s">
        <v>2165</v>
      </c>
      <c r="K268" s="282" t="s">
        <v>2165</v>
      </c>
      <c r="L268" s="285" t="s">
        <v>2165</v>
      </c>
    </row>
    <row r="269" spans="1:12" s="182" customFormat="1" ht="30" x14ac:dyDescent="0.25">
      <c r="A269" s="375" t="s">
        <v>1399</v>
      </c>
      <c r="B269" s="376" t="s">
        <v>1399</v>
      </c>
      <c r="C269" s="370" t="s">
        <v>2165</v>
      </c>
      <c r="D269" s="370" t="s">
        <v>2165</v>
      </c>
      <c r="E269" s="371" t="s">
        <v>1511</v>
      </c>
      <c r="F269" s="376" t="s">
        <v>29</v>
      </c>
      <c r="G269" s="377"/>
      <c r="H269" s="372" t="s">
        <v>2165</v>
      </c>
      <c r="I269" s="373" t="s">
        <v>2165</v>
      </c>
      <c r="J269" s="374">
        <v>9.5100000000000016</v>
      </c>
      <c r="K269" s="378">
        <v>7001050069</v>
      </c>
      <c r="L269" s="379">
        <v>3.0367024749546421E-3</v>
      </c>
    </row>
    <row r="270" spans="1:12" s="182" customFormat="1" ht="30" x14ac:dyDescent="0.25">
      <c r="A270" s="375" t="s">
        <v>1410</v>
      </c>
      <c r="B270" s="376" t="s">
        <v>1410</v>
      </c>
      <c r="C270" s="370" t="s">
        <v>2165</v>
      </c>
      <c r="D270" s="370" t="s">
        <v>2165</v>
      </c>
      <c r="E270" s="371" t="s">
        <v>1512</v>
      </c>
      <c r="F270" s="376" t="s">
        <v>29</v>
      </c>
      <c r="G270" s="377"/>
      <c r="H270" s="372" t="s">
        <v>2165</v>
      </c>
      <c r="I270" s="373" t="s">
        <v>2165</v>
      </c>
      <c r="J270" s="374">
        <v>13.56</v>
      </c>
      <c r="K270" s="378">
        <v>7001050070</v>
      </c>
      <c r="L270" s="379">
        <v>2.1313705442032402E-3</v>
      </c>
    </row>
    <row r="271" spans="1:12" s="182" customFormat="1" ht="30" x14ac:dyDescent="0.25">
      <c r="A271" s="375" t="s">
        <v>1411</v>
      </c>
      <c r="B271" s="376" t="s">
        <v>1411</v>
      </c>
      <c r="C271" s="370" t="s">
        <v>2165</v>
      </c>
      <c r="D271" s="370" t="s">
        <v>2165</v>
      </c>
      <c r="E271" s="371" t="s">
        <v>1513</v>
      </c>
      <c r="F271" s="376" t="s">
        <v>29</v>
      </c>
      <c r="G271" s="377"/>
      <c r="H271" s="372" t="s">
        <v>2165</v>
      </c>
      <c r="I271" s="373" t="s">
        <v>2165</v>
      </c>
      <c r="J271" s="374">
        <v>7.52</v>
      </c>
      <c r="K271" s="378">
        <v>7001050071</v>
      </c>
      <c r="L271" s="379">
        <v>2.618252981036494E-3</v>
      </c>
    </row>
    <row r="272" spans="1:12" s="182" customFormat="1" ht="30" x14ac:dyDescent="0.25">
      <c r="A272" s="375" t="s">
        <v>1412</v>
      </c>
      <c r="B272" s="376" t="s">
        <v>1412</v>
      </c>
      <c r="C272" s="370" t="s">
        <v>2165</v>
      </c>
      <c r="D272" s="370" t="s">
        <v>2165</v>
      </c>
      <c r="E272" s="371" t="s">
        <v>1514</v>
      </c>
      <c r="F272" s="376" t="s">
        <v>29</v>
      </c>
      <c r="G272" s="377"/>
      <c r="H272" s="372" t="s">
        <v>2165</v>
      </c>
      <c r="I272" s="373" t="s">
        <v>2165</v>
      </c>
      <c r="J272" s="374">
        <v>11.370000000000001</v>
      </c>
      <c r="K272" s="378">
        <v>7001050072</v>
      </c>
      <c r="L272" s="379">
        <v>1.7310448564238051E-3</v>
      </c>
    </row>
    <row r="273" spans="1:12" s="182" customFormat="1" ht="30" x14ac:dyDescent="0.25">
      <c r="A273" s="375" t="s">
        <v>1413</v>
      </c>
      <c r="B273" s="376" t="s">
        <v>1413</v>
      </c>
      <c r="C273" s="370" t="s">
        <v>2165</v>
      </c>
      <c r="D273" s="370" t="s">
        <v>2165</v>
      </c>
      <c r="E273" s="371" t="s">
        <v>1515</v>
      </c>
      <c r="F273" s="376" t="s">
        <v>29</v>
      </c>
      <c r="G273" s="377"/>
      <c r="H273" s="372" t="s">
        <v>2165</v>
      </c>
      <c r="I273" s="373" t="s">
        <v>2165</v>
      </c>
      <c r="J273" s="374">
        <v>5.55</v>
      </c>
      <c r="K273" s="378">
        <v>7001050073</v>
      </c>
      <c r="L273" s="379">
        <v>3.7759715213655613E-3</v>
      </c>
    </row>
    <row r="274" spans="1:12" s="182" customFormat="1" ht="30" x14ac:dyDescent="0.25">
      <c r="A274" s="375" t="s">
        <v>1414</v>
      </c>
      <c r="B274" s="376" t="s">
        <v>1414</v>
      </c>
      <c r="C274" s="370" t="s">
        <v>2165</v>
      </c>
      <c r="D274" s="370" t="s">
        <v>2165</v>
      </c>
      <c r="E274" s="371" t="s">
        <v>1516</v>
      </c>
      <c r="F274" s="376" t="s">
        <v>29</v>
      </c>
      <c r="G274" s="377"/>
      <c r="H274" s="372" t="s">
        <v>2165</v>
      </c>
      <c r="I274" s="373" t="s">
        <v>2165</v>
      </c>
      <c r="J274" s="374">
        <v>9.4400000000000013</v>
      </c>
      <c r="K274" s="378">
        <v>7001050074</v>
      </c>
      <c r="L274" s="379">
        <v>2.2215246002319374E-3</v>
      </c>
    </row>
    <row r="275" spans="1:12" s="10" customFormat="1" x14ac:dyDescent="0.25">
      <c r="A275" s="34">
        <v>11</v>
      </c>
      <c r="B275" s="174" t="s">
        <v>2165</v>
      </c>
      <c r="C275" s="383" t="s">
        <v>2165</v>
      </c>
      <c r="D275" s="383" t="s">
        <v>2165</v>
      </c>
      <c r="E275" s="384" t="s">
        <v>514</v>
      </c>
      <c r="F275" s="174"/>
      <c r="G275" s="175"/>
      <c r="H275" s="385" t="s">
        <v>2165</v>
      </c>
      <c r="I275" s="386" t="s">
        <v>2165</v>
      </c>
      <c r="J275" s="387" t="s">
        <v>2165</v>
      </c>
      <c r="K275" s="282" t="s">
        <v>2165</v>
      </c>
      <c r="L275" s="285" t="s">
        <v>2165</v>
      </c>
    </row>
    <row r="276" spans="1:12" x14ac:dyDescent="0.25">
      <c r="A276" s="375" t="s">
        <v>692</v>
      </c>
      <c r="B276" s="376" t="s">
        <v>692</v>
      </c>
      <c r="C276" s="370" t="s">
        <v>2165</v>
      </c>
      <c r="D276" s="370" t="s">
        <v>2165</v>
      </c>
      <c r="E276" s="371" t="s">
        <v>1517</v>
      </c>
      <c r="F276" s="376" t="s">
        <v>29</v>
      </c>
      <c r="G276" s="377"/>
      <c r="H276" s="372" t="s">
        <v>2165</v>
      </c>
      <c r="I276" s="373" t="s">
        <v>2165</v>
      </c>
      <c r="J276" s="374">
        <v>168.76</v>
      </c>
      <c r="K276" s="378">
        <v>7001050027</v>
      </c>
      <c r="L276" s="379">
        <v>0</v>
      </c>
    </row>
    <row r="277" spans="1:12" x14ac:dyDescent="0.25">
      <c r="A277" s="375" t="s">
        <v>693</v>
      </c>
      <c r="B277" s="376" t="s">
        <v>693</v>
      </c>
      <c r="C277" s="370" t="s">
        <v>2165</v>
      </c>
      <c r="D277" s="370" t="s">
        <v>2165</v>
      </c>
      <c r="E277" s="371" t="s">
        <v>1518</v>
      </c>
      <c r="F277" s="376" t="s">
        <v>29</v>
      </c>
      <c r="G277" s="377"/>
      <c r="H277" s="372" t="s">
        <v>2165</v>
      </c>
      <c r="I277" s="373" t="s">
        <v>2165</v>
      </c>
      <c r="J277" s="374">
        <v>420.65999999999997</v>
      </c>
      <c r="K277" s="378">
        <v>7001050028</v>
      </c>
      <c r="L277" s="379">
        <v>0</v>
      </c>
    </row>
    <row r="278" spans="1:12" s="10" customFormat="1" x14ac:dyDescent="0.25">
      <c r="A278" s="34">
        <v>12</v>
      </c>
      <c r="B278" s="174" t="s">
        <v>2165</v>
      </c>
      <c r="C278" s="383" t="s">
        <v>2165</v>
      </c>
      <c r="D278" s="383" t="s">
        <v>2165</v>
      </c>
      <c r="E278" s="384" t="s">
        <v>515</v>
      </c>
      <c r="F278" s="174"/>
      <c r="G278" s="175"/>
      <c r="H278" s="385" t="s">
        <v>2165</v>
      </c>
      <c r="I278" s="386" t="s">
        <v>2165</v>
      </c>
      <c r="J278" s="387" t="s">
        <v>2165</v>
      </c>
      <c r="K278" s="282" t="s">
        <v>2165</v>
      </c>
      <c r="L278" s="285" t="s">
        <v>2165</v>
      </c>
    </row>
    <row r="279" spans="1:12" ht="30" x14ac:dyDescent="0.25">
      <c r="A279" s="375" t="s">
        <v>694</v>
      </c>
      <c r="B279" s="376" t="s">
        <v>694</v>
      </c>
      <c r="C279" s="370" t="s">
        <v>2165</v>
      </c>
      <c r="D279" s="370" t="s">
        <v>2165</v>
      </c>
      <c r="E279" s="371" t="s">
        <v>1519</v>
      </c>
      <c r="F279" s="376" t="s">
        <v>34</v>
      </c>
      <c r="G279" s="377"/>
      <c r="H279" s="372" t="s">
        <v>2165</v>
      </c>
      <c r="I279" s="373" t="s">
        <v>2165</v>
      </c>
      <c r="J279" s="374">
        <v>231.97</v>
      </c>
      <c r="K279" s="378">
        <v>7001060008</v>
      </c>
      <c r="L279" s="379">
        <v>0</v>
      </c>
    </row>
    <row r="280" spans="1:12" ht="30" x14ac:dyDescent="0.25">
      <c r="A280" s="375" t="s">
        <v>695</v>
      </c>
      <c r="B280" s="376" t="s">
        <v>695</v>
      </c>
      <c r="C280" s="370" t="s">
        <v>2165</v>
      </c>
      <c r="D280" s="370" t="s">
        <v>2165</v>
      </c>
      <c r="E280" s="371" t="s">
        <v>1520</v>
      </c>
      <c r="F280" s="376" t="s">
        <v>34</v>
      </c>
      <c r="G280" s="377"/>
      <c r="H280" s="372" t="s">
        <v>2165</v>
      </c>
      <c r="I280" s="373" t="s">
        <v>2165</v>
      </c>
      <c r="J280" s="374">
        <v>303.28999999999996</v>
      </c>
      <c r="K280" s="378">
        <v>7001060009</v>
      </c>
      <c r="L280" s="379">
        <v>0</v>
      </c>
    </row>
    <row r="281" spans="1:12" s="10" customFormat="1" x14ac:dyDescent="0.25">
      <c r="A281" s="34">
        <v>13</v>
      </c>
      <c r="B281" s="174" t="s">
        <v>2165</v>
      </c>
      <c r="C281" s="383" t="s">
        <v>2165</v>
      </c>
      <c r="D281" s="383" t="s">
        <v>2165</v>
      </c>
      <c r="E281" s="384" t="s">
        <v>516</v>
      </c>
      <c r="F281" s="174"/>
      <c r="G281" s="175"/>
      <c r="H281" s="385" t="s">
        <v>2165</v>
      </c>
      <c r="I281" s="386" t="s">
        <v>2165</v>
      </c>
      <c r="J281" s="387" t="s">
        <v>2165</v>
      </c>
      <c r="K281" s="282" t="s">
        <v>2165</v>
      </c>
      <c r="L281" s="285" t="s">
        <v>2165</v>
      </c>
    </row>
    <row r="282" spans="1:12" x14ac:dyDescent="0.25">
      <c r="A282" s="375" t="s">
        <v>696</v>
      </c>
      <c r="B282" s="376" t="s">
        <v>696</v>
      </c>
      <c r="C282" s="370" t="s">
        <v>2165</v>
      </c>
      <c r="D282" s="370" t="s">
        <v>2165</v>
      </c>
      <c r="E282" s="371" t="s">
        <v>1521</v>
      </c>
      <c r="F282" s="376" t="s">
        <v>21</v>
      </c>
      <c r="G282" s="377"/>
      <c r="H282" s="372" t="s">
        <v>2165</v>
      </c>
      <c r="I282" s="373" t="s">
        <v>2165</v>
      </c>
      <c r="J282" s="374">
        <v>46.85</v>
      </c>
      <c r="K282" s="378">
        <v>7001030013</v>
      </c>
      <c r="L282" s="379">
        <v>0</v>
      </c>
    </row>
    <row r="283" spans="1:12" s="10" customFormat="1" x14ac:dyDescent="0.25">
      <c r="A283" s="34">
        <v>14</v>
      </c>
      <c r="B283" s="174" t="s">
        <v>2165</v>
      </c>
      <c r="C283" s="383" t="s">
        <v>2165</v>
      </c>
      <c r="D283" s="383" t="s">
        <v>2165</v>
      </c>
      <c r="E283" s="384" t="s">
        <v>2054</v>
      </c>
      <c r="F283" s="174"/>
      <c r="G283" s="175"/>
      <c r="H283" s="385" t="s">
        <v>2165</v>
      </c>
      <c r="I283" s="386" t="s">
        <v>2165</v>
      </c>
      <c r="J283" s="387" t="s">
        <v>2165</v>
      </c>
      <c r="K283" s="282" t="s">
        <v>2165</v>
      </c>
      <c r="L283" s="285" t="s">
        <v>2165</v>
      </c>
    </row>
    <row r="284" spans="1:12" s="10" customFormat="1" x14ac:dyDescent="0.25">
      <c r="A284" s="34">
        <v>15</v>
      </c>
      <c r="B284" s="174" t="s">
        <v>2165</v>
      </c>
      <c r="C284" s="383" t="s">
        <v>2165</v>
      </c>
      <c r="D284" s="383" t="s">
        <v>2165</v>
      </c>
      <c r="E284" s="384" t="s">
        <v>2054</v>
      </c>
      <c r="F284" s="174"/>
      <c r="G284" s="175"/>
      <c r="H284" s="385" t="s">
        <v>2165</v>
      </c>
      <c r="I284" s="386" t="s">
        <v>2165</v>
      </c>
      <c r="J284" s="387" t="s">
        <v>2165</v>
      </c>
      <c r="K284" s="282" t="s">
        <v>2165</v>
      </c>
      <c r="L284" s="285" t="s">
        <v>2165</v>
      </c>
    </row>
    <row r="285" spans="1:12" s="10" customFormat="1" x14ac:dyDescent="0.25">
      <c r="A285" s="34">
        <v>16</v>
      </c>
      <c r="B285" s="174" t="s">
        <v>2165</v>
      </c>
      <c r="C285" s="383" t="s">
        <v>2165</v>
      </c>
      <c r="D285" s="383" t="s">
        <v>2165</v>
      </c>
      <c r="E285" s="384" t="s">
        <v>2054</v>
      </c>
      <c r="F285" s="174"/>
      <c r="G285" s="175"/>
      <c r="H285" s="385" t="s">
        <v>2165</v>
      </c>
      <c r="I285" s="386" t="s">
        <v>2165</v>
      </c>
      <c r="J285" s="387" t="s">
        <v>2165</v>
      </c>
      <c r="K285" s="282" t="s">
        <v>2165</v>
      </c>
      <c r="L285" s="285" t="s">
        <v>2165</v>
      </c>
    </row>
    <row r="286" spans="1:12" s="10" customFormat="1" x14ac:dyDescent="0.25">
      <c r="A286" s="34">
        <v>17</v>
      </c>
      <c r="B286" s="174" t="s">
        <v>2165</v>
      </c>
      <c r="C286" s="383" t="s">
        <v>2165</v>
      </c>
      <c r="D286" s="383" t="s">
        <v>2165</v>
      </c>
      <c r="E286" s="384" t="s">
        <v>517</v>
      </c>
      <c r="F286" s="174"/>
      <c r="G286" s="175"/>
      <c r="H286" s="385" t="s">
        <v>2165</v>
      </c>
      <c r="I286" s="386" t="s">
        <v>2165</v>
      </c>
      <c r="J286" s="387" t="s">
        <v>2165</v>
      </c>
      <c r="K286" s="282" t="s">
        <v>2165</v>
      </c>
      <c r="L286" s="285" t="s">
        <v>2165</v>
      </c>
    </row>
    <row r="287" spans="1:12" ht="30" x14ac:dyDescent="0.25">
      <c r="A287" s="375" t="s">
        <v>697</v>
      </c>
      <c r="B287" s="376" t="s">
        <v>697</v>
      </c>
      <c r="C287" s="370" t="s">
        <v>2165</v>
      </c>
      <c r="D287" s="370" t="s">
        <v>2165</v>
      </c>
      <c r="E287" s="371" t="s">
        <v>1523</v>
      </c>
      <c r="F287" s="376" t="s">
        <v>29</v>
      </c>
      <c r="G287" s="377"/>
      <c r="H287" s="372" t="s">
        <v>2165</v>
      </c>
      <c r="I287" s="373" t="s">
        <v>2165</v>
      </c>
      <c r="J287" s="374">
        <v>116.08000000000001</v>
      </c>
      <c r="K287" s="378">
        <v>7001080004</v>
      </c>
      <c r="L287" s="379">
        <v>7.4086836664369405E-3</v>
      </c>
    </row>
    <row r="288" spans="1:12" ht="33" customHeight="1" x14ac:dyDescent="0.25">
      <c r="A288" s="375" t="s">
        <v>698</v>
      </c>
      <c r="B288" s="376" t="s">
        <v>698</v>
      </c>
      <c r="C288" s="370" t="s">
        <v>2165</v>
      </c>
      <c r="D288" s="370" t="s">
        <v>2165</v>
      </c>
      <c r="E288" s="371" t="s">
        <v>1524</v>
      </c>
      <c r="F288" s="376" t="s">
        <v>29</v>
      </c>
      <c r="G288" s="377"/>
      <c r="H288" s="372" t="s">
        <v>2165</v>
      </c>
      <c r="I288" s="373" t="s">
        <v>2165</v>
      </c>
      <c r="J288" s="374">
        <v>94.759999999999991</v>
      </c>
      <c r="K288" s="378">
        <v>7001080005</v>
      </c>
      <c r="L288" s="379">
        <v>9.0755593077247784E-3</v>
      </c>
    </row>
    <row r="289" spans="1:12" ht="30" x14ac:dyDescent="0.25">
      <c r="A289" s="375" t="s">
        <v>699</v>
      </c>
      <c r="B289" s="376" t="s">
        <v>699</v>
      </c>
      <c r="C289" s="370" t="s">
        <v>2165</v>
      </c>
      <c r="D289" s="370" t="s">
        <v>2165</v>
      </c>
      <c r="E289" s="371" t="s">
        <v>2092</v>
      </c>
      <c r="F289" s="376" t="s">
        <v>29</v>
      </c>
      <c r="G289" s="377"/>
      <c r="H289" s="372" t="s">
        <v>2165</v>
      </c>
      <c r="I289" s="373" t="s">
        <v>2165</v>
      </c>
      <c r="J289" s="374">
        <v>100.02000000000001</v>
      </c>
      <c r="K289" s="378">
        <v>7001080006</v>
      </c>
      <c r="L289" s="379">
        <v>8.5982803439312132E-3</v>
      </c>
    </row>
    <row r="290" spans="1:12" ht="45" x14ac:dyDescent="0.25">
      <c r="A290" s="375" t="s">
        <v>700</v>
      </c>
      <c r="B290" s="376" t="s">
        <v>700</v>
      </c>
      <c r="C290" s="370" t="s">
        <v>2165</v>
      </c>
      <c r="D290" s="370" t="s">
        <v>2165</v>
      </c>
      <c r="E290" s="371" t="s">
        <v>2292</v>
      </c>
      <c r="F290" s="376" t="s">
        <v>29</v>
      </c>
      <c r="G290" s="377"/>
      <c r="H290" s="372" t="s">
        <v>2165</v>
      </c>
      <c r="I290" s="373" t="s">
        <v>2165</v>
      </c>
      <c r="J290" s="374">
        <v>21.2</v>
      </c>
      <c r="K290" s="378">
        <v>7001080316</v>
      </c>
      <c r="L290" s="379">
        <v>0.65600734085258983</v>
      </c>
    </row>
    <row r="291" spans="1:12" s="182" customFormat="1" x14ac:dyDescent="0.25">
      <c r="A291" s="375" t="s">
        <v>701</v>
      </c>
      <c r="B291" s="376" t="s">
        <v>701</v>
      </c>
      <c r="C291" s="370" t="s">
        <v>2165</v>
      </c>
      <c r="D291" s="370" t="s">
        <v>2165</v>
      </c>
      <c r="E291" s="371" t="s">
        <v>2055</v>
      </c>
      <c r="F291" s="376" t="s">
        <v>29</v>
      </c>
      <c r="G291" s="377"/>
      <c r="H291" s="372" t="s">
        <v>2165</v>
      </c>
      <c r="I291" s="373" t="s">
        <v>2165</v>
      </c>
      <c r="J291" s="374">
        <v>10.93</v>
      </c>
      <c r="K291" s="378">
        <v>7001080293</v>
      </c>
      <c r="L291" s="379">
        <v>0.16285452881976212</v>
      </c>
    </row>
    <row r="292" spans="1:12" s="182" customFormat="1" x14ac:dyDescent="0.25">
      <c r="A292" s="375" t="s">
        <v>702</v>
      </c>
      <c r="B292" s="376" t="s">
        <v>702</v>
      </c>
      <c r="C292" s="370" t="s">
        <v>2165</v>
      </c>
      <c r="D292" s="370" t="s">
        <v>2165</v>
      </c>
      <c r="E292" s="371" t="s">
        <v>2056</v>
      </c>
      <c r="F292" s="376" t="s">
        <v>29</v>
      </c>
      <c r="G292" s="377"/>
      <c r="H292" s="372" t="s">
        <v>2165</v>
      </c>
      <c r="I292" s="373" t="s">
        <v>2165</v>
      </c>
      <c r="J292" s="374">
        <v>8.08</v>
      </c>
      <c r="K292" s="378">
        <v>7001080294</v>
      </c>
      <c r="L292" s="379">
        <v>5.7759689113354357E-2</v>
      </c>
    </row>
    <row r="293" spans="1:12" x14ac:dyDescent="0.25">
      <c r="A293" s="375" t="s">
        <v>703</v>
      </c>
      <c r="B293" s="376" t="s">
        <v>703</v>
      </c>
      <c r="C293" s="370" t="s">
        <v>2165</v>
      </c>
      <c r="D293" s="370" t="s">
        <v>2165</v>
      </c>
      <c r="E293" s="371" t="s">
        <v>1525</v>
      </c>
      <c r="F293" s="376" t="s">
        <v>29</v>
      </c>
      <c r="G293" s="377"/>
      <c r="H293" s="372" t="s">
        <v>2165</v>
      </c>
      <c r="I293" s="373" t="s">
        <v>2165</v>
      </c>
      <c r="J293" s="374">
        <v>6.62</v>
      </c>
      <c r="K293" s="378">
        <v>7001080137</v>
      </c>
      <c r="L293" s="379">
        <v>0</v>
      </c>
    </row>
    <row r="294" spans="1:12" s="182" customFormat="1" ht="30" x14ac:dyDescent="0.25">
      <c r="A294" s="375" t="s">
        <v>2057</v>
      </c>
      <c r="B294" s="376" t="s">
        <v>2057</v>
      </c>
      <c r="C294" s="370" t="s">
        <v>2165</v>
      </c>
      <c r="D294" s="370" t="s">
        <v>2165</v>
      </c>
      <c r="E294" s="371" t="s">
        <v>2060</v>
      </c>
      <c r="F294" s="376" t="s">
        <v>34</v>
      </c>
      <c r="G294" s="377"/>
      <c r="H294" s="372" t="s">
        <v>2165</v>
      </c>
      <c r="I294" s="373" t="s">
        <v>2165</v>
      </c>
      <c r="J294" s="374">
        <v>1132.08</v>
      </c>
      <c r="K294" s="378">
        <v>7001080295</v>
      </c>
      <c r="L294" s="379">
        <v>1.2418513579828237E-2</v>
      </c>
    </row>
    <row r="295" spans="1:12" ht="42" customHeight="1" x14ac:dyDescent="0.25">
      <c r="A295" s="375" t="s">
        <v>704</v>
      </c>
      <c r="B295" s="376" t="s">
        <v>704</v>
      </c>
      <c r="C295" s="370" t="s">
        <v>2165</v>
      </c>
      <c r="D295" s="370" t="s">
        <v>2165</v>
      </c>
      <c r="E295" s="371" t="s">
        <v>1526</v>
      </c>
      <c r="F295" s="376" t="s">
        <v>34</v>
      </c>
      <c r="G295" s="377"/>
      <c r="H295" s="372" t="s">
        <v>2165</v>
      </c>
      <c r="I295" s="373" t="s">
        <v>2165</v>
      </c>
      <c r="J295" s="374">
        <v>946.18</v>
      </c>
      <c r="K295" s="378">
        <v>7001080265</v>
      </c>
      <c r="L295" s="379">
        <v>5.4676152830697672E-4</v>
      </c>
    </row>
    <row r="296" spans="1:12" s="10" customFormat="1" x14ac:dyDescent="0.25">
      <c r="A296" s="34">
        <v>18</v>
      </c>
      <c r="B296" s="174" t="s">
        <v>2165</v>
      </c>
      <c r="C296" s="383" t="s">
        <v>2165</v>
      </c>
      <c r="D296" s="383" t="s">
        <v>2165</v>
      </c>
      <c r="E296" s="384" t="s">
        <v>518</v>
      </c>
      <c r="F296" s="174"/>
      <c r="G296" s="175"/>
      <c r="H296" s="385" t="s">
        <v>2165</v>
      </c>
      <c r="I296" s="386" t="s">
        <v>2165</v>
      </c>
      <c r="J296" s="387" t="s">
        <v>2165</v>
      </c>
      <c r="K296" s="282" t="s">
        <v>2165</v>
      </c>
      <c r="L296" s="285" t="s">
        <v>2165</v>
      </c>
    </row>
    <row r="297" spans="1:12" ht="30" x14ac:dyDescent="0.25">
      <c r="A297" s="375" t="s">
        <v>705</v>
      </c>
      <c r="B297" s="376" t="s">
        <v>705</v>
      </c>
      <c r="C297" s="370" t="s">
        <v>2165</v>
      </c>
      <c r="D297" s="370" t="s">
        <v>2165</v>
      </c>
      <c r="E297" s="371" t="s">
        <v>2093</v>
      </c>
      <c r="F297" s="376" t="s">
        <v>29</v>
      </c>
      <c r="G297" s="377"/>
      <c r="H297" s="372" t="s">
        <v>2165</v>
      </c>
      <c r="I297" s="373" t="s">
        <v>2165</v>
      </c>
      <c r="J297" s="374">
        <v>45.95</v>
      </c>
      <c r="K297" s="378">
        <v>7001090001</v>
      </c>
      <c r="L297" s="379">
        <v>0</v>
      </c>
    </row>
    <row r="298" spans="1:12" ht="30" x14ac:dyDescent="0.25">
      <c r="A298" s="375" t="s">
        <v>706</v>
      </c>
      <c r="B298" s="376" t="s">
        <v>706</v>
      </c>
      <c r="C298" s="370" t="s">
        <v>2165</v>
      </c>
      <c r="D298" s="370" t="s">
        <v>2165</v>
      </c>
      <c r="E298" s="371" t="s">
        <v>1527</v>
      </c>
      <c r="F298" s="376" t="s">
        <v>20</v>
      </c>
      <c r="G298" s="377"/>
      <c r="H298" s="372" t="s">
        <v>2165</v>
      </c>
      <c r="I298" s="373" t="s">
        <v>2165</v>
      </c>
      <c r="J298" s="374">
        <v>15.45</v>
      </c>
      <c r="K298" s="378">
        <v>7001090094</v>
      </c>
      <c r="L298" s="379">
        <v>0</v>
      </c>
    </row>
    <row r="299" spans="1:12" ht="45" x14ac:dyDescent="0.25">
      <c r="A299" s="375" t="s">
        <v>707</v>
      </c>
      <c r="B299" s="376" t="s">
        <v>707</v>
      </c>
      <c r="C299" s="370" t="s">
        <v>2165</v>
      </c>
      <c r="D299" s="370" t="s">
        <v>2165</v>
      </c>
      <c r="E299" s="371" t="s">
        <v>1528</v>
      </c>
      <c r="F299" s="376" t="s">
        <v>29</v>
      </c>
      <c r="G299" s="377"/>
      <c r="H299" s="372" t="s">
        <v>2165</v>
      </c>
      <c r="I299" s="373" t="s">
        <v>2165</v>
      </c>
      <c r="J299" s="374">
        <v>60.540000000000006</v>
      </c>
      <c r="K299" s="378">
        <v>7001090095</v>
      </c>
      <c r="L299" s="379">
        <v>0</v>
      </c>
    </row>
    <row r="300" spans="1:12" s="10" customFormat="1" x14ac:dyDescent="0.25">
      <c r="A300" s="34">
        <v>19</v>
      </c>
      <c r="B300" s="174" t="s">
        <v>2165</v>
      </c>
      <c r="C300" s="383" t="s">
        <v>2165</v>
      </c>
      <c r="D300" s="383" t="s">
        <v>2165</v>
      </c>
      <c r="E300" s="384" t="s">
        <v>519</v>
      </c>
      <c r="F300" s="174"/>
      <c r="G300" s="175"/>
      <c r="H300" s="385" t="s">
        <v>2165</v>
      </c>
      <c r="I300" s="386" t="s">
        <v>2165</v>
      </c>
      <c r="J300" s="387" t="s">
        <v>2165</v>
      </c>
      <c r="K300" s="282" t="s">
        <v>2165</v>
      </c>
      <c r="L300" s="285" t="s">
        <v>2165</v>
      </c>
    </row>
    <row r="301" spans="1:12" x14ac:dyDescent="0.25">
      <c r="A301" s="375" t="s">
        <v>708</v>
      </c>
      <c r="B301" s="376" t="s">
        <v>708</v>
      </c>
      <c r="C301" s="370" t="s">
        <v>2165</v>
      </c>
      <c r="D301" s="370" t="s">
        <v>2165</v>
      </c>
      <c r="E301" s="371" t="s">
        <v>1529</v>
      </c>
      <c r="F301" s="376" t="s">
        <v>34</v>
      </c>
      <c r="G301" s="377"/>
      <c r="H301" s="372" t="s">
        <v>2165</v>
      </c>
      <c r="I301" s="373" t="s">
        <v>2165</v>
      </c>
      <c r="J301" s="374">
        <v>197.55</v>
      </c>
      <c r="K301" s="378">
        <v>7001100002</v>
      </c>
      <c r="L301" s="379">
        <v>0</v>
      </c>
    </row>
    <row r="302" spans="1:12" x14ac:dyDescent="0.25">
      <c r="A302" s="375" t="s">
        <v>709</v>
      </c>
      <c r="B302" s="376" t="s">
        <v>709</v>
      </c>
      <c r="C302" s="370" t="s">
        <v>2165</v>
      </c>
      <c r="D302" s="370" t="s">
        <v>2165</v>
      </c>
      <c r="E302" s="371" t="s">
        <v>1530</v>
      </c>
      <c r="F302" s="376" t="s">
        <v>29</v>
      </c>
      <c r="G302" s="377"/>
      <c r="H302" s="372" t="s">
        <v>2165</v>
      </c>
      <c r="I302" s="373" t="s">
        <v>2165</v>
      </c>
      <c r="J302" s="374">
        <v>71.319999999999993</v>
      </c>
      <c r="K302" s="378">
        <v>7001100173</v>
      </c>
      <c r="L302" s="379">
        <v>0</v>
      </c>
    </row>
    <row r="303" spans="1:12" x14ac:dyDescent="0.25">
      <c r="A303" s="375" t="s">
        <v>710</v>
      </c>
      <c r="B303" s="376" t="s">
        <v>710</v>
      </c>
      <c r="C303" s="370" t="s">
        <v>2165</v>
      </c>
      <c r="D303" s="370" t="s">
        <v>2165</v>
      </c>
      <c r="E303" s="371" t="s">
        <v>1531</v>
      </c>
      <c r="F303" s="376" t="s">
        <v>29</v>
      </c>
      <c r="G303" s="377"/>
      <c r="H303" s="372" t="s">
        <v>2165</v>
      </c>
      <c r="I303" s="373" t="s">
        <v>2165</v>
      </c>
      <c r="J303" s="374">
        <v>59.239999999999995</v>
      </c>
      <c r="K303" s="378">
        <v>7001100011</v>
      </c>
      <c r="L303" s="379">
        <v>0</v>
      </c>
    </row>
    <row r="304" spans="1:12" s="10" customFormat="1" x14ac:dyDescent="0.25">
      <c r="A304" s="34">
        <v>20</v>
      </c>
      <c r="B304" s="174" t="s">
        <v>2165</v>
      </c>
      <c r="C304" s="383" t="s">
        <v>2165</v>
      </c>
      <c r="D304" s="383" t="s">
        <v>2165</v>
      </c>
      <c r="E304" s="384" t="s">
        <v>520</v>
      </c>
      <c r="F304" s="174"/>
      <c r="G304" s="175"/>
      <c r="H304" s="385" t="s">
        <v>2165</v>
      </c>
      <c r="I304" s="386" t="s">
        <v>2165</v>
      </c>
      <c r="J304" s="387" t="s">
        <v>2165</v>
      </c>
      <c r="K304" s="282" t="s">
        <v>2165</v>
      </c>
      <c r="L304" s="285" t="s">
        <v>2165</v>
      </c>
    </row>
    <row r="305" spans="1:12" x14ac:dyDescent="0.25">
      <c r="A305" s="375" t="s">
        <v>711</v>
      </c>
      <c r="B305" s="376" t="s">
        <v>711</v>
      </c>
      <c r="C305" s="370" t="s">
        <v>2165</v>
      </c>
      <c r="D305" s="370" t="s">
        <v>2165</v>
      </c>
      <c r="E305" s="371" t="s">
        <v>1532</v>
      </c>
      <c r="F305" s="376" t="s">
        <v>34</v>
      </c>
      <c r="G305" s="377"/>
      <c r="H305" s="372" t="s">
        <v>2165</v>
      </c>
      <c r="I305" s="373" t="s">
        <v>2165</v>
      </c>
      <c r="J305" s="374">
        <v>308.09999999999997</v>
      </c>
      <c r="K305" s="378">
        <v>7001100012</v>
      </c>
      <c r="L305" s="379">
        <v>0</v>
      </c>
    </row>
    <row r="306" spans="1:12" x14ac:dyDescent="0.25">
      <c r="A306" s="375" t="s">
        <v>712</v>
      </c>
      <c r="B306" s="376" t="s">
        <v>712</v>
      </c>
      <c r="C306" s="370" t="s">
        <v>2165</v>
      </c>
      <c r="D306" s="370" t="s">
        <v>2165</v>
      </c>
      <c r="E306" s="371" t="s">
        <v>1533</v>
      </c>
      <c r="F306" s="376" t="s">
        <v>34</v>
      </c>
      <c r="G306" s="377"/>
      <c r="H306" s="372" t="s">
        <v>2165</v>
      </c>
      <c r="I306" s="373" t="s">
        <v>2165</v>
      </c>
      <c r="J306" s="374">
        <v>355.5</v>
      </c>
      <c r="K306" s="378">
        <v>7001100013</v>
      </c>
      <c r="L306" s="379">
        <v>0</v>
      </c>
    </row>
    <row r="307" spans="1:12" x14ac:dyDescent="0.25">
      <c r="A307" s="375" t="s">
        <v>713</v>
      </c>
      <c r="B307" s="376" t="s">
        <v>713</v>
      </c>
      <c r="C307" s="370" t="s">
        <v>2165</v>
      </c>
      <c r="D307" s="370" t="s">
        <v>2165</v>
      </c>
      <c r="E307" s="371" t="s">
        <v>1534</v>
      </c>
      <c r="F307" s="376" t="s">
        <v>34</v>
      </c>
      <c r="G307" s="377"/>
      <c r="H307" s="372" t="s">
        <v>2165</v>
      </c>
      <c r="I307" s="373" t="s">
        <v>2165</v>
      </c>
      <c r="J307" s="374">
        <v>384.07000000000005</v>
      </c>
      <c r="K307" s="378">
        <v>7001100026</v>
      </c>
      <c r="L307" s="379">
        <v>0.16684458562241256</v>
      </c>
    </row>
    <row r="308" spans="1:12" x14ac:dyDescent="0.25">
      <c r="A308" s="375" t="s">
        <v>714</v>
      </c>
      <c r="B308" s="376" t="s">
        <v>714</v>
      </c>
      <c r="C308" s="370" t="s">
        <v>2165</v>
      </c>
      <c r="D308" s="370" t="s">
        <v>2165</v>
      </c>
      <c r="E308" s="371" t="s">
        <v>1535</v>
      </c>
      <c r="F308" s="376" t="s">
        <v>34</v>
      </c>
      <c r="G308" s="377"/>
      <c r="H308" s="372" t="s">
        <v>2165</v>
      </c>
      <c r="I308" s="373" t="s">
        <v>2165</v>
      </c>
      <c r="J308" s="374">
        <v>181.26</v>
      </c>
      <c r="K308" s="378">
        <v>7001100027</v>
      </c>
      <c r="L308" s="379">
        <v>0.14140225276505292</v>
      </c>
    </row>
    <row r="309" spans="1:12" s="10" customFormat="1" x14ac:dyDescent="0.25">
      <c r="A309" s="34">
        <v>21</v>
      </c>
      <c r="B309" s="174" t="s">
        <v>2165</v>
      </c>
      <c r="C309" s="383" t="s">
        <v>2165</v>
      </c>
      <c r="D309" s="383" t="s">
        <v>2165</v>
      </c>
      <c r="E309" s="384" t="s">
        <v>521</v>
      </c>
      <c r="F309" s="174"/>
      <c r="G309" s="175"/>
      <c r="H309" s="385" t="s">
        <v>2165</v>
      </c>
      <c r="I309" s="386" t="s">
        <v>2165</v>
      </c>
      <c r="J309" s="387" t="s">
        <v>2165</v>
      </c>
      <c r="K309" s="282" t="s">
        <v>2165</v>
      </c>
      <c r="L309" s="285" t="s">
        <v>2165</v>
      </c>
    </row>
    <row r="310" spans="1:12" x14ac:dyDescent="0.25">
      <c r="A310" s="375" t="s">
        <v>715</v>
      </c>
      <c r="B310" s="376" t="s">
        <v>715</v>
      </c>
      <c r="C310" s="370" t="s">
        <v>2165</v>
      </c>
      <c r="D310" s="370" t="s">
        <v>2165</v>
      </c>
      <c r="E310" s="371" t="s">
        <v>1536</v>
      </c>
      <c r="F310" s="376" t="s">
        <v>29</v>
      </c>
      <c r="G310" s="377"/>
      <c r="H310" s="372" t="s">
        <v>2165</v>
      </c>
      <c r="I310" s="373" t="s">
        <v>2165</v>
      </c>
      <c r="J310" s="374">
        <v>17.25</v>
      </c>
      <c r="K310" s="378">
        <v>7001100176</v>
      </c>
      <c r="L310" s="379">
        <v>0</v>
      </c>
    </row>
    <row r="311" spans="1:12" x14ac:dyDescent="0.25">
      <c r="A311" s="375" t="s">
        <v>716</v>
      </c>
      <c r="B311" s="376" t="s">
        <v>716</v>
      </c>
      <c r="C311" s="370" t="s">
        <v>2165</v>
      </c>
      <c r="D311" s="370" t="s">
        <v>2165</v>
      </c>
      <c r="E311" s="371" t="s">
        <v>1537</v>
      </c>
      <c r="F311" s="376" t="s">
        <v>29</v>
      </c>
      <c r="G311" s="377"/>
      <c r="H311" s="372" t="s">
        <v>2165</v>
      </c>
      <c r="I311" s="373" t="s">
        <v>2165</v>
      </c>
      <c r="J311" s="374">
        <v>33.18</v>
      </c>
      <c r="K311" s="378">
        <v>7001100177</v>
      </c>
      <c r="L311" s="379">
        <v>0</v>
      </c>
    </row>
    <row r="312" spans="1:12" x14ac:dyDescent="0.25">
      <c r="A312" s="375" t="s">
        <v>717</v>
      </c>
      <c r="B312" s="376" t="s">
        <v>717</v>
      </c>
      <c r="C312" s="370" t="s">
        <v>2165</v>
      </c>
      <c r="D312" s="370" t="s">
        <v>2165</v>
      </c>
      <c r="E312" s="371" t="s">
        <v>1538</v>
      </c>
      <c r="F312" s="376" t="s">
        <v>29</v>
      </c>
      <c r="G312" s="377"/>
      <c r="H312" s="372" t="s">
        <v>2165</v>
      </c>
      <c r="I312" s="373" t="s">
        <v>2165</v>
      </c>
      <c r="J312" s="374">
        <v>15.4</v>
      </c>
      <c r="K312" s="378">
        <v>7001100242</v>
      </c>
      <c r="L312" s="379">
        <v>0</v>
      </c>
    </row>
    <row r="313" spans="1:12" x14ac:dyDescent="0.25">
      <c r="A313" s="375" t="s">
        <v>718</v>
      </c>
      <c r="B313" s="376" t="s">
        <v>718</v>
      </c>
      <c r="C313" s="370" t="s">
        <v>2165</v>
      </c>
      <c r="D313" s="370" t="s">
        <v>2165</v>
      </c>
      <c r="E313" s="371" t="s">
        <v>1539</v>
      </c>
      <c r="F313" s="376" t="s">
        <v>29</v>
      </c>
      <c r="G313" s="377"/>
      <c r="H313" s="372" t="s">
        <v>2165</v>
      </c>
      <c r="I313" s="373" t="s">
        <v>2165</v>
      </c>
      <c r="J313" s="374">
        <v>30.8</v>
      </c>
      <c r="K313" s="378">
        <v>7001100179</v>
      </c>
      <c r="L313" s="379">
        <v>0</v>
      </c>
    </row>
    <row r="314" spans="1:12" x14ac:dyDescent="0.25">
      <c r="A314" s="375" t="s">
        <v>719</v>
      </c>
      <c r="B314" s="376" t="s">
        <v>719</v>
      </c>
      <c r="C314" s="370" t="s">
        <v>2165</v>
      </c>
      <c r="D314" s="370" t="s">
        <v>2165</v>
      </c>
      <c r="E314" s="371" t="s">
        <v>1540</v>
      </c>
      <c r="F314" s="376" t="s">
        <v>29</v>
      </c>
      <c r="G314" s="377"/>
      <c r="H314" s="372" t="s">
        <v>2165</v>
      </c>
      <c r="I314" s="373" t="s">
        <v>2165</v>
      </c>
      <c r="J314" s="374">
        <v>9.48</v>
      </c>
      <c r="K314" s="378">
        <v>7001100180</v>
      </c>
      <c r="L314" s="379">
        <v>0</v>
      </c>
    </row>
    <row r="315" spans="1:12" x14ac:dyDescent="0.25">
      <c r="A315" s="375" t="s">
        <v>720</v>
      </c>
      <c r="B315" s="376" t="s">
        <v>720</v>
      </c>
      <c r="C315" s="370" t="s">
        <v>2165</v>
      </c>
      <c r="D315" s="370" t="s">
        <v>2165</v>
      </c>
      <c r="E315" s="371" t="s">
        <v>1541</v>
      </c>
      <c r="F315" s="376" t="s">
        <v>29</v>
      </c>
      <c r="G315" s="377"/>
      <c r="H315" s="372" t="s">
        <v>2165</v>
      </c>
      <c r="I315" s="373" t="s">
        <v>2165</v>
      </c>
      <c r="J315" s="374">
        <v>16.580000000000002</v>
      </c>
      <c r="K315" s="378">
        <v>7001100018</v>
      </c>
      <c r="L315" s="379">
        <v>0</v>
      </c>
    </row>
    <row r="316" spans="1:12" x14ac:dyDescent="0.25">
      <c r="A316" s="375" t="s">
        <v>721</v>
      </c>
      <c r="B316" s="376" t="s">
        <v>721</v>
      </c>
      <c r="C316" s="370" t="s">
        <v>2165</v>
      </c>
      <c r="D316" s="370" t="s">
        <v>2165</v>
      </c>
      <c r="E316" s="371" t="s">
        <v>1542</v>
      </c>
      <c r="F316" s="376" t="s">
        <v>29</v>
      </c>
      <c r="G316" s="377"/>
      <c r="H316" s="372" t="s">
        <v>2165</v>
      </c>
      <c r="I316" s="373" t="s">
        <v>2165</v>
      </c>
      <c r="J316" s="374">
        <v>35.54</v>
      </c>
      <c r="K316" s="378">
        <v>7001100019</v>
      </c>
      <c r="L316" s="379">
        <v>0</v>
      </c>
    </row>
    <row r="317" spans="1:12" ht="30" x14ac:dyDescent="0.25">
      <c r="A317" s="375" t="s">
        <v>722</v>
      </c>
      <c r="B317" s="376" t="s">
        <v>722</v>
      </c>
      <c r="C317" s="370" t="s">
        <v>2165</v>
      </c>
      <c r="D317" s="370" t="s">
        <v>2165</v>
      </c>
      <c r="E317" s="371" t="s">
        <v>1543</v>
      </c>
      <c r="F317" s="376" t="s">
        <v>29</v>
      </c>
      <c r="G317" s="377"/>
      <c r="H317" s="372" t="s">
        <v>2165</v>
      </c>
      <c r="I317" s="373" t="s">
        <v>2165</v>
      </c>
      <c r="J317" s="374">
        <v>33.18</v>
      </c>
      <c r="K317" s="378">
        <v>7001100142</v>
      </c>
      <c r="L317" s="379">
        <v>0</v>
      </c>
    </row>
    <row r="318" spans="1:12" x14ac:dyDescent="0.25">
      <c r="A318" s="375" t="s">
        <v>723</v>
      </c>
      <c r="B318" s="376" t="s">
        <v>723</v>
      </c>
      <c r="C318" s="370" t="s">
        <v>2165</v>
      </c>
      <c r="D318" s="370" t="s">
        <v>2165</v>
      </c>
      <c r="E318" s="371" t="s">
        <v>1544</v>
      </c>
      <c r="F318" s="376" t="s">
        <v>34</v>
      </c>
      <c r="G318" s="377"/>
      <c r="H318" s="372" t="s">
        <v>2165</v>
      </c>
      <c r="I318" s="373" t="s">
        <v>2165</v>
      </c>
      <c r="J318" s="374">
        <v>29.28</v>
      </c>
      <c r="K318" s="378">
        <v>7001100022</v>
      </c>
      <c r="L318" s="379">
        <v>0</v>
      </c>
    </row>
    <row r="319" spans="1:12" x14ac:dyDescent="0.25">
      <c r="A319" s="375" t="s">
        <v>724</v>
      </c>
      <c r="B319" s="376" t="s">
        <v>724</v>
      </c>
      <c r="C319" s="370" t="s">
        <v>2165</v>
      </c>
      <c r="D319" s="370" t="s">
        <v>2165</v>
      </c>
      <c r="E319" s="371" t="s">
        <v>1545</v>
      </c>
      <c r="F319" s="376" t="s">
        <v>20</v>
      </c>
      <c r="G319" s="377"/>
      <c r="H319" s="372" t="s">
        <v>2165</v>
      </c>
      <c r="I319" s="373" t="s">
        <v>2165</v>
      </c>
      <c r="J319" s="374">
        <v>37.92</v>
      </c>
      <c r="K319" s="378">
        <v>7001100023</v>
      </c>
      <c r="L319" s="379">
        <v>0</v>
      </c>
    </row>
    <row r="320" spans="1:12" x14ac:dyDescent="0.25">
      <c r="A320" s="375" t="s">
        <v>725</v>
      </c>
      <c r="B320" s="376" t="s">
        <v>725</v>
      </c>
      <c r="C320" s="370" t="s">
        <v>2165</v>
      </c>
      <c r="D320" s="370" t="s">
        <v>2165</v>
      </c>
      <c r="E320" s="371" t="s">
        <v>1546</v>
      </c>
      <c r="F320" s="376" t="s">
        <v>29</v>
      </c>
      <c r="G320" s="377"/>
      <c r="H320" s="372" t="s">
        <v>2165</v>
      </c>
      <c r="I320" s="373" t="s">
        <v>2165</v>
      </c>
      <c r="J320" s="374">
        <v>41.160000000000004</v>
      </c>
      <c r="K320" s="378">
        <v>7001100024</v>
      </c>
      <c r="L320" s="379">
        <v>0</v>
      </c>
    </row>
    <row r="321" spans="1:12" s="182" customFormat="1" x14ac:dyDescent="0.25">
      <c r="A321" s="375" t="s">
        <v>726</v>
      </c>
      <c r="B321" s="376" t="s">
        <v>726</v>
      </c>
      <c r="C321" s="370" t="s">
        <v>2165</v>
      </c>
      <c r="D321" s="370" t="s">
        <v>2165</v>
      </c>
      <c r="E321" s="371" t="s">
        <v>2040</v>
      </c>
      <c r="F321" s="376" t="s">
        <v>29</v>
      </c>
      <c r="G321" s="377"/>
      <c r="H321" s="372" t="s">
        <v>2165</v>
      </c>
      <c r="I321" s="373" t="s">
        <v>2165</v>
      </c>
      <c r="J321" s="374">
        <v>30.8</v>
      </c>
      <c r="K321" s="378">
        <v>7001100306</v>
      </c>
      <c r="L321" s="379">
        <v>0</v>
      </c>
    </row>
    <row r="322" spans="1:12" x14ac:dyDescent="0.25">
      <c r="A322" s="375" t="s">
        <v>727</v>
      </c>
      <c r="B322" s="376" t="s">
        <v>727</v>
      </c>
      <c r="C322" s="370" t="s">
        <v>2165</v>
      </c>
      <c r="D322" s="370" t="s">
        <v>2165</v>
      </c>
      <c r="E322" s="371" t="s">
        <v>1547</v>
      </c>
      <c r="F322" s="376" t="s">
        <v>29</v>
      </c>
      <c r="G322" s="377"/>
      <c r="H322" s="372" t="s">
        <v>2165</v>
      </c>
      <c r="I322" s="373" t="s">
        <v>2165</v>
      </c>
      <c r="J322" s="374">
        <v>16.04</v>
      </c>
      <c r="K322" s="378">
        <v>7001100028</v>
      </c>
      <c r="L322" s="379">
        <v>0</v>
      </c>
    </row>
    <row r="323" spans="1:12" s="10" customFormat="1" x14ac:dyDescent="0.25">
      <c r="A323" s="34">
        <v>22</v>
      </c>
      <c r="B323" s="174" t="s">
        <v>2165</v>
      </c>
      <c r="C323" s="383" t="s">
        <v>2165</v>
      </c>
      <c r="D323" s="383" t="s">
        <v>2165</v>
      </c>
      <c r="E323" s="384" t="s">
        <v>522</v>
      </c>
      <c r="F323" s="174"/>
      <c r="G323" s="175"/>
      <c r="H323" s="385" t="s">
        <v>2165</v>
      </c>
      <c r="I323" s="386" t="s">
        <v>2165</v>
      </c>
      <c r="J323" s="387" t="s">
        <v>2165</v>
      </c>
      <c r="K323" s="282" t="s">
        <v>2165</v>
      </c>
      <c r="L323" s="285" t="s">
        <v>2165</v>
      </c>
    </row>
    <row r="324" spans="1:12" x14ac:dyDescent="0.25">
      <c r="A324" s="375" t="s">
        <v>728</v>
      </c>
      <c r="B324" s="376" t="s">
        <v>728</v>
      </c>
      <c r="C324" s="370" t="s">
        <v>2165</v>
      </c>
      <c r="D324" s="370" t="s">
        <v>2165</v>
      </c>
      <c r="E324" s="371" t="s">
        <v>1548</v>
      </c>
      <c r="F324" s="376" t="s">
        <v>29</v>
      </c>
      <c r="G324" s="377"/>
      <c r="H324" s="372" t="s">
        <v>2165</v>
      </c>
      <c r="I324" s="373" t="s">
        <v>2165</v>
      </c>
      <c r="J324" s="374">
        <v>16.580000000000002</v>
      </c>
      <c r="K324" s="378">
        <v>7001100030</v>
      </c>
      <c r="L324" s="379">
        <v>0</v>
      </c>
    </row>
    <row r="325" spans="1:12" x14ac:dyDescent="0.25">
      <c r="A325" s="375" t="s">
        <v>729</v>
      </c>
      <c r="B325" s="376" t="s">
        <v>729</v>
      </c>
      <c r="C325" s="370" t="s">
        <v>2165</v>
      </c>
      <c r="D325" s="370" t="s">
        <v>2165</v>
      </c>
      <c r="E325" s="371" t="s">
        <v>1549</v>
      </c>
      <c r="F325" s="376" t="s">
        <v>20</v>
      </c>
      <c r="G325" s="377"/>
      <c r="H325" s="372" t="s">
        <v>2165</v>
      </c>
      <c r="I325" s="373" t="s">
        <v>2165</v>
      </c>
      <c r="J325" s="374">
        <v>4.74</v>
      </c>
      <c r="K325" s="378">
        <v>7001100031</v>
      </c>
      <c r="L325" s="379">
        <v>0</v>
      </c>
    </row>
    <row r="326" spans="1:12" x14ac:dyDescent="0.25">
      <c r="A326" s="375" t="s">
        <v>730</v>
      </c>
      <c r="B326" s="376" t="s">
        <v>730</v>
      </c>
      <c r="C326" s="370" t="s">
        <v>2165</v>
      </c>
      <c r="D326" s="370" t="s">
        <v>2165</v>
      </c>
      <c r="E326" s="371" t="s">
        <v>1550</v>
      </c>
      <c r="F326" s="376" t="s">
        <v>29</v>
      </c>
      <c r="G326" s="377"/>
      <c r="H326" s="372" t="s">
        <v>2165</v>
      </c>
      <c r="I326" s="373" t="s">
        <v>2165</v>
      </c>
      <c r="J326" s="374">
        <v>18.059999999999999</v>
      </c>
      <c r="K326" s="378">
        <v>7001100032</v>
      </c>
      <c r="L326" s="379">
        <v>0.14036385518800584</v>
      </c>
    </row>
    <row r="327" spans="1:12" x14ac:dyDescent="0.25">
      <c r="A327" s="375" t="s">
        <v>731</v>
      </c>
      <c r="B327" s="376" t="s">
        <v>731</v>
      </c>
      <c r="C327" s="370" t="s">
        <v>2165</v>
      </c>
      <c r="D327" s="370" t="s">
        <v>2165</v>
      </c>
      <c r="E327" s="371" t="s">
        <v>1551</v>
      </c>
      <c r="F327" s="376" t="s">
        <v>29</v>
      </c>
      <c r="G327" s="377"/>
      <c r="H327" s="372" t="s">
        <v>2165</v>
      </c>
      <c r="I327" s="373" t="s">
        <v>2165</v>
      </c>
      <c r="J327" s="374">
        <v>27.36</v>
      </c>
      <c r="K327" s="378">
        <v>7001100033</v>
      </c>
      <c r="L327" s="379">
        <v>0</v>
      </c>
    </row>
    <row r="328" spans="1:12" s="10" customFormat="1" x14ac:dyDescent="0.25">
      <c r="A328" s="34">
        <v>23</v>
      </c>
      <c r="B328" s="174" t="s">
        <v>2165</v>
      </c>
      <c r="C328" s="383" t="s">
        <v>2165</v>
      </c>
      <c r="D328" s="383" t="s">
        <v>2165</v>
      </c>
      <c r="E328" s="384" t="s">
        <v>523</v>
      </c>
      <c r="F328" s="174"/>
      <c r="G328" s="175"/>
      <c r="H328" s="385" t="s">
        <v>2165</v>
      </c>
      <c r="I328" s="386" t="s">
        <v>2165</v>
      </c>
      <c r="J328" s="387" t="s">
        <v>2165</v>
      </c>
      <c r="K328" s="282" t="s">
        <v>2165</v>
      </c>
      <c r="L328" s="285" t="s">
        <v>2165</v>
      </c>
    </row>
    <row r="329" spans="1:12" x14ac:dyDescent="0.25">
      <c r="A329" s="375" t="s">
        <v>732</v>
      </c>
      <c r="B329" s="376" t="s">
        <v>732</v>
      </c>
      <c r="C329" s="370" t="s">
        <v>2165</v>
      </c>
      <c r="D329" s="370" t="s">
        <v>2165</v>
      </c>
      <c r="E329" s="371" t="s">
        <v>1552</v>
      </c>
      <c r="F329" s="376" t="s">
        <v>29</v>
      </c>
      <c r="G329" s="377"/>
      <c r="H329" s="372" t="s">
        <v>2165</v>
      </c>
      <c r="I329" s="373" t="s">
        <v>2165</v>
      </c>
      <c r="J329" s="374">
        <v>7.35</v>
      </c>
      <c r="K329" s="378">
        <v>7001100034</v>
      </c>
      <c r="L329" s="379">
        <v>0</v>
      </c>
    </row>
    <row r="330" spans="1:12" s="10" customFormat="1" x14ac:dyDescent="0.25">
      <c r="A330" s="34">
        <v>24</v>
      </c>
      <c r="B330" s="174" t="s">
        <v>2165</v>
      </c>
      <c r="C330" s="383" t="s">
        <v>2165</v>
      </c>
      <c r="D330" s="383" t="s">
        <v>2165</v>
      </c>
      <c r="E330" s="384" t="s">
        <v>2054</v>
      </c>
      <c r="F330" s="174"/>
      <c r="G330" s="175"/>
      <c r="H330" s="385" t="s">
        <v>2165</v>
      </c>
      <c r="I330" s="386" t="s">
        <v>2165</v>
      </c>
      <c r="J330" s="387" t="s">
        <v>2165</v>
      </c>
      <c r="K330" s="282" t="s">
        <v>2165</v>
      </c>
      <c r="L330" s="285" t="s">
        <v>2165</v>
      </c>
    </row>
    <row r="331" spans="1:12" s="10" customFormat="1" x14ac:dyDescent="0.25">
      <c r="A331" s="34">
        <v>25</v>
      </c>
      <c r="B331" s="174" t="s">
        <v>2165</v>
      </c>
      <c r="C331" s="383" t="s">
        <v>2165</v>
      </c>
      <c r="D331" s="383" t="s">
        <v>2165</v>
      </c>
      <c r="E331" s="384" t="s">
        <v>524</v>
      </c>
      <c r="F331" s="174"/>
      <c r="G331" s="175"/>
      <c r="H331" s="385" t="s">
        <v>2165</v>
      </c>
      <c r="I331" s="386" t="s">
        <v>2165</v>
      </c>
      <c r="J331" s="387" t="s">
        <v>2165</v>
      </c>
      <c r="K331" s="282" t="s">
        <v>2165</v>
      </c>
      <c r="L331" s="285" t="s">
        <v>2165</v>
      </c>
    </row>
    <row r="332" spans="1:12" x14ac:dyDescent="0.25">
      <c r="A332" s="375" t="s">
        <v>733</v>
      </c>
      <c r="B332" s="376" t="s">
        <v>733</v>
      </c>
      <c r="C332" s="370" t="s">
        <v>2165</v>
      </c>
      <c r="D332" s="370" t="s">
        <v>2165</v>
      </c>
      <c r="E332" s="371" t="s">
        <v>1553</v>
      </c>
      <c r="F332" s="376" t="s">
        <v>20</v>
      </c>
      <c r="G332" s="377"/>
      <c r="H332" s="372" t="s">
        <v>2165</v>
      </c>
      <c r="I332" s="373" t="s">
        <v>2165</v>
      </c>
      <c r="J332" s="374">
        <v>9.35</v>
      </c>
      <c r="K332" s="378">
        <v>7001100151</v>
      </c>
      <c r="L332" s="379">
        <v>0</v>
      </c>
    </row>
    <row r="333" spans="1:12" ht="30.75" customHeight="1" x14ac:dyDescent="0.25">
      <c r="A333" s="375" t="s">
        <v>734</v>
      </c>
      <c r="B333" s="376" t="s">
        <v>734</v>
      </c>
      <c r="C333" s="370" t="s">
        <v>2165</v>
      </c>
      <c r="D333" s="370" t="s">
        <v>2165</v>
      </c>
      <c r="E333" s="371" t="s">
        <v>1554</v>
      </c>
      <c r="F333" s="376" t="s">
        <v>20</v>
      </c>
      <c r="G333" s="377"/>
      <c r="H333" s="372" t="s">
        <v>2165</v>
      </c>
      <c r="I333" s="373" t="s">
        <v>2165</v>
      </c>
      <c r="J333" s="374">
        <v>14.02</v>
      </c>
      <c r="K333" s="378">
        <v>7001100152</v>
      </c>
      <c r="L333" s="379">
        <v>0</v>
      </c>
    </row>
    <row r="334" spans="1:12" x14ac:dyDescent="0.25">
      <c r="A334" s="375" t="s">
        <v>735</v>
      </c>
      <c r="B334" s="376" t="s">
        <v>735</v>
      </c>
      <c r="C334" s="370" t="s">
        <v>2165</v>
      </c>
      <c r="D334" s="370" t="s">
        <v>2165</v>
      </c>
      <c r="E334" s="371" t="s">
        <v>1555</v>
      </c>
      <c r="F334" s="376" t="s">
        <v>20</v>
      </c>
      <c r="G334" s="377"/>
      <c r="H334" s="372" t="s">
        <v>2165</v>
      </c>
      <c r="I334" s="373" t="s">
        <v>2165</v>
      </c>
      <c r="J334" s="374">
        <v>4.6899999999999995</v>
      </c>
      <c r="K334" s="378">
        <v>7001100153</v>
      </c>
      <c r="L334" s="379">
        <v>0</v>
      </c>
    </row>
    <row r="335" spans="1:12" x14ac:dyDescent="0.25">
      <c r="A335" s="375" t="s">
        <v>736</v>
      </c>
      <c r="B335" s="376" t="s">
        <v>736</v>
      </c>
      <c r="C335" s="370" t="s">
        <v>2165</v>
      </c>
      <c r="D335" s="370" t="s">
        <v>2165</v>
      </c>
      <c r="E335" s="371" t="s">
        <v>1556</v>
      </c>
      <c r="F335" s="376" t="s">
        <v>20</v>
      </c>
      <c r="G335" s="377"/>
      <c r="H335" s="372" t="s">
        <v>2165</v>
      </c>
      <c r="I335" s="373" t="s">
        <v>2165</v>
      </c>
      <c r="J335" s="374">
        <v>5.83</v>
      </c>
      <c r="K335" s="378">
        <v>7001100154</v>
      </c>
      <c r="L335" s="379">
        <v>0</v>
      </c>
    </row>
    <row r="336" spans="1:12" s="10" customFormat="1" x14ac:dyDescent="0.25">
      <c r="A336" s="34">
        <v>26</v>
      </c>
      <c r="B336" s="174" t="s">
        <v>2165</v>
      </c>
      <c r="C336" s="383" t="s">
        <v>2165</v>
      </c>
      <c r="D336" s="383" t="s">
        <v>2165</v>
      </c>
      <c r="E336" s="384" t="s">
        <v>1256</v>
      </c>
      <c r="F336" s="174"/>
      <c r="G336" s="175"/>
      <c r="H336" s="385" t="s">
        <v>2165</v>
      </c>
      <c r="I336" s="386" t="s">
        <v>2165</v>
      </c>
      <c r="J336" s="387" t="s">
        <v>2165</v>
      </c>
      <c r="K336" s="282" t="s">
        <v>2165</v>
      </c>
      <c r="L336" s="285" t="s">
        <v>2165</v>
      </c>
    </row>
    <row r="337" spans="1:12" x14ac:dyDescent="0.25">
      <c r="A337" s="375" t="s">
        <v>737</v>
      </c>
      <c r="B337" s="376" t="s">
        <v>737</v>
      </c>
      <c r="C337" s="370" t="s">
        <v>2165</v>
      </c>
      <c r="D337" s="370" t="s">
        <v>2165</v>
      </c>
      <c r="E337" s="371" t="s">
        <v>1557</v>
      </c>
      <c r="F337" s="376" t="s">
        <v>23</v>
      </c>
      <c r="G337" s="377"/>
      <c r="H337" s="372" t="s">
        <v>2165</v>
      </c>
      <c r="I337" s="373" t="s">
        <v>2165</v>
      </c>
      <c r="J337" s="374">
        <v>21.119999999999997</v>
      </c>
      <c r="K337" s="378">
        <v>7001100157</v>
      </c>
      <c r="L337" s="379">
        <v>0</v>
      </c>
    </row>
    <row r="338" spans="1:12" s="10" customFormat="1" x14ac:dyDescent="0.25">
      <c r="A338" s="34">
        <v>27</v>
      </c>
      <c r="B338" s="174" t="s">
        <v>2165</v>
      </c>
      <c r="C338" s="383" t="s">
        <v>2165</v>
      </c>
      <c r="D338" s="383" t="s">
        <v>2165</v>
      </c>
      <c r="E338" s="384" t="s">
        <v>2054</v>
      </c>
      <c r="F338" s="174"/>
      <c r="G338" s="175"/>
      <c r="H338" s="385" t="s">
        <v>2165</v>
      </c>
      <c r="I338" s="386" t="s">
        <v>2165</v>
      </c>
      <c r="J338" s="387" t="s">
        <v>2165</v>
      </c>
      <c r="K338" s="282" t="s">
        <v>2165</v>
      </c>
      <c r="L338" s="285" t="s">
        <v>2165</v>
      </c>
    </row>
    <row r="339" spans="1:12" s="10" customFormat="1" x14ac:dyDescent="0.25">
      <c r="A339" s="34">
        <v>28</v>
      </c>
      <c r="B339" s="174" t="s">
        <v>2165</v>
      </c>
      <c r="C339" s="383" t="s">
        <v>2165</v>
      </c>
      <c r="D339" s="383" t="s">
        <v>2165</v>
      </c>
      <c r="E339" s="384" t="s">
        <v>2054</v>
      </c>
      <c r="F339" s="174"/>
      <c r="G339" s="175"/>
      <c r="H339" s="385" t="s">
        <v>2165</v>
      </c>
      <c r="I339" s="386" t="s">
        <v>2165</v>
      </c>
      <c r="J339" s="387" t="s">
        <v>2165</v>
      </c>
      <c r="K339" s="282" t="s">
        <v>2165</v>
      </c>
      <c r="L339" s="285" t="s">
        <v>2165</v>
      </c>
    </row>
    <row r="340" spans="1:12" s="10" customFormat="1" x14ac:dyDescent="0.25">
      <c r="A340" s="34">
        <v>29</v>
      </c>
      <c r="B340" s="174" t="s">
        <v>2165</v>
      </c>
      <c r="C340" s="383" t="s">
        <v>2165</v>
      </c>
      <c r="D340" s="383" t="s">
        <v>2165</v>
      </c>
      <c r="E340" s="384" t="s">
        <v>2054</v>
      </c>
      <c r="F340" s="174"/>
      <c r="G340" s="175"/>
      <c r="H340" s="385" t="s">
        <v>2165</v>
      </c>
      <c r="I340" s="386" t="s">
        <v>2165</v>
      </c>
      <c r="J340" s="387" t="s">
        <v>2165</v>
      </c>
      <c r="K340" s="282" t="s">
        <v>2165</v>
      </c>
      <c r="L340" s="285" t="s">
        <v>2165</v>
      </c>
    </row>
    <row r="341" spans="1:12" s="10" customFormat="1" x14ac:dyDescent="0.25">
      <c r="A341" s="34">
        <v>30</v>
      </c>
      <c r="B341" s="174" t="s">
        <v>2165</v>
      </c>
      <c r="C341" s="383" t="s">
        <v>2165</v>
      </c>
      <c r="D341" s="383" t="s">
        <v>2165</v>
      </c>
      <c r="E341" s="384" t="s">
        <v>525</v>
      </c>
      <c r="F341" s="174"/>
      <c r="G341" s="175"/>
      <c r="H341" s="385" t="s">
        <v>2165</v>
      </c>
      <c r="I341" s="386" t="s">
        <v>2165</v>
      </c>
      <c r="J341" s="387" t="s">
        <v>2165</v>
      </c>
      <c r="K341" s="282" t="s">
        <v>2165</v>
      </c>
      <c r="L341" s="285" t="s">
        <v>2165</v>
      </c>
    </row>
    <row r="342" spans="1:12" x14ac:dyDescent="0.25">
      <c r="A342" s="375" t="s">
        <v>1288</v>
      </c>
      <c r="B342" s="376" t="s">
        <v>1288</v>
      </c>
      <c r="C342" s="370" t="s">
        <v>2165</v>
      </c>
      <c r="D342" s="370" t="s">
        <v>2165</v>
      </c>
      <c r="E342" s="371" t="s">
        <v>1558</v>
      </c>
      <c r="F342" s="376" t="s">
        <v>20</v>
      </c>
      <c r="G342" s="377"/>
      <c r="H342" s="372" t="s">
        <v>2165</v>
      </c>
      <c r="I342" s="373" t="s">
        <v>2165</v>
      </c>
      <c r="J342" s="374">
        <v>9.98</v>
      </c>
      <c r="K342" s="378">
        <v>7001100172</v>
      </c>
      <c r="L342" s="379">
        <v>0</v>
      </c>
    </row>
    <row r="343" spans="1:12" s="10" customFormat="1" x14ac:dyDescent="0.25">
      <c r="A343" s="34">
        <v>31</v>
      </c>
      <c r="B343" s="174" t="s">
        <v>2165</v>
      </c>
      <c r="C343" s="383" t="s">
        <v>2165</v>
      </c>
      <c r="D343" s="383" t="s">
        <v>2165</v>
      </c>
      <c r="E343" s="384" t="s">
        <v>2054</v>
      </c>
      <c r="F343" s="174"/>
      <c r="G343" s="175"/>
      <c r="H343" s="385" t="s">
        <v>2165</v>
      </c>
      <c r="I343" s="386" t="s">
        <v>2165</v>
      </c>
      <c r="J343" s="387" t="s">
        <v>2165</v>
      </c>
      <c r="K343" s="282" t="s">
        <v>2165</v>
      </c>
      <c r="L343" s="285" t="s">
        <v>2165</v>
      </c>
    </row>
    <row r="344" spans="1:12" s="10" customFormat="1" x14ac:dyDescent="0.25">
      <c r="A344" s="34">
        <v>32</v>
      </c>
      <c r="B344" s="174" t="s">
        <v>2165</v>
      </c>
      <c r="C344" s="383" t="s">
        <v>2165</v>
      </c>
      <c r="D344" s="383" t="s">
        <v>2165</v>
      </c>
      <c r="E344" s="384" t="s">
        <v>526</v>
      </c>
      <c r="F344" s="174"/>
      <c r="G344" s="175"/>
      <c r="H344" s="385" t="s">
        <v>2165</v>
      </c>
      <c r="I344" s="386" t="s">
        <v>2165</v>
      </c>
      <c r="J344" s="387" t="s">
        <v>2165</v>
      </c>
      <c r="K344" s="282" t="s">
        <v>2165</v>
      </c>
      <c r="L344" s="285" t="s">
        <v>2165</v>
      </c>
    </row>
    <row r="345" spans="1:12" ht="30" x14ac:dyDescent="0.25">
      <c r="A345" s="375" t="s">
        <v>1348</v>
      </c>
      <c r="B345" s="376" t="s">
        <v>1348</v>
      </c>
      <c r="C345" s="370" t="s">
        <v>2165</v>
      </c>
      <c r="D345" s="370" t="s">
        <v>2165</v>
      </c>
      <c r="E345" s="371" t="s">
        <v>1559</v>
      </c>
      <c r="F345" s="376" t="s">
        <v>29</v>
      </c>
      <c r="G345" s="377"/>
      <c r="H345" s="372" t="s">
        <v>2165</v>
      </c>
      <c r="I345" s="373" t="s">
        <v>2165</v>
      </c>
      <c r="J345" s="374">
        <v>80.09</v>
      </c>
      <c r="K345" s="378">
        <v>7001110004</v>
      </c>
      <c r="L345" s="379">
        <v>0</v>
      </c>
    </row>
    <row r="346" spans="1:12" ht="30" x14ac:dyDescent="0.25">
      <c r="A346" s="375" t="s">
        <v>1349</v>
      </c>
      <c r="B346" s="376" t="s">
        <v>1349</v>
      </c>
      <c r="C346" s="370" t="s">
        <v>2165</v>
      </c>
      <c r="D346" s="370" t="s">
        <v>2165</v>
      </c>
      <c r="E346" s="371" t="s">
        <v>1560</v>
      </c>
      <c r="F346" s="376" t="s">
        <v>29</v>
      </c>
      <c r="G346" s="377"/>
      <c r="H346" s="372" t="s">
        <v>2165</v>
      </c>
      <c r="I346" s="373" t="s">
        <v>2165</v>
      </c>
      <c r="J346" s="374">
        <v>76.42</v>
      </c>
      <c r="K346" s="378">
        <v>7001110065</v>
      </c>
      <c r="L346" s="379">
        <v>0</v>
      </c>
    </row>
    <row r="347" spans="1:12" s="10" customFormat="1" x14ac:dyDescent="0.25">
      <c r="A347" s="34">
        <v>33</v>
      </c>
      <c r="B347" s="174" t="s">
        <v>2165</v>
      </c>
      <c r="C347" s="383" t="s">
        <v>2165</v>
      </c>
      <c r="D347" s="383" t="s">
        <v>2165</v>
      </c>
      <c r="E347" s="384" t="s">
        <v>527</v>
      </c>
      <c r="F347" s="174"/>
      <c r="G347" s="175"/>
      <c r="H347" s="385" t="s">
        <v>2165</v>
      </c>
      <c r="I347" s="386" t="s">
        <v>2165</v>
      </c>
      <c r="J347" s="387" t="s">
        <v>2165</v>
      </c>
      <c r="K347" s="282" t="s">
        <v>2165</v>
      </c>
      <c r="L347" s="285" t="s">
        <v>2165</v>
      </c>
    </row>
    <row r="348" spans="1:12" ht="30" x14ac:dyDescent="0.25">
      <c r="A348" s="375" t="s">
        <v>738</v>
      </c>
      <c r="B348" s="376" t="s">
        <v>738</v>
      </c>
      <c r="C348" s="370" t="s">
        <v>2165</v>
      </c>
      <c r="D348" s="370" t="s">
        <v>2165</v>
      </c>
      <c r="E348" s="371" t="s">
        <v>1561</v>
      </c>
      <c r="F348" s="376" t="s">
        <v>29</v>
      </c>
      <c r="G348" s="377"/>
      <c r="H348" s="372" t="s">
        <v>2165</v>
      </c>
      <c r="I348" s="373" t="s">
        <v>2165</v>
      </c>
      <c r="J348" s="374">
        <v>161.05000000000001</v>
      </c>
      <c r="K348" s="378">
        <v>7001110006</v>
      </c>
      <c r="L348" s="379">
        <v>0</v>
      </c>
    </row>
    <row r="349" spans="1:12" s="10" customFormat="1" x14ac:dyDescent="0.25">
      <c r="A349" s="34">
        <v>34</v>
      </c>
      <c r="B349" s="174" t="s">
        <v>2165</v>
      </c>
      <c r="C349" s="383" t="s">
        <v>2165</v>
      </c>
      <c r="D349" s="383" t="s">
        <v>2165</v>
      </c>
      <c r="E349" s="384" t="s">
        <v>2054</v>
      </c>
      <c r="F349" s="174"/>
      <c r="G349" s="175"/>
      <c r="H349" s="385" t="s">
        <v>2165</v>
      </c>
      <c r="I349" s="386" t="s">
        <v>2165</v>
      </c>
      <c r="J349" s="387" t="s">
        <v>2165</v>
      </c>
      <c r="K349" s="282" t="s">
        <v>2165</v>
      </c>
      <c r="L349" s="285" t="s">
        <v>2165</v>
      </c>
    </row>
    <row r="350" spans="1:12" s="10" customFormat="1" x14ac:dyDescent="0.25">
      <c r="A350" s="34">
        <v>35</v>
      </c>
      <c r="B350" s="174" t="s">
        <v>2165</v>
      </c>
      <c r="C350" s="383" t="s">
        <v>2165</v>
      </c>
      <c r="D350" s="383" t="s">
        <v>2165</v>
      </c>
      <c r="E350" s="384" t="s">
        <v>2054</v>
      </c>
      <c r="F350" s="174"/>
      <c r="G350" s="175"/>
      <c r="H350" s="385" t="s">
        <v>2165</v>
      </c>
      <c r="I350" s="386" t="s">
        <v>2165</v>
      </c>
      <c r="J350" s="387" t="s">
        <v>2165</v>
      </c>
      <c r="K350" s="282" t="s">
        <v>2165</v>
      </c>
      <c r="L350" s="285" t="s">
        <v>2165</v>
      </c>
    </row>
    <row r="351" spans="1:12" s="10" customFormat="1" x14ac:dyDescent="0.25">
      <c r="A351" s="34">
        <v>36</v>
      </c>
      <c r="B351" s="174" t="s">
        <v>2165</v>
      </c>
      <c r="C351" s="383" t="s">
        <v>2165</v>
      </c>
      <c r="D351" s="383" t="s">
        <v>2165</v>
      </c>
      <c r="E351" s="384" t="s">
        <v>528</v>
      </c>
      <c r="F351" s="174"/>
      <c r="G351" s="175"/>
      <c r="H351" s="385" t="s">
        <v>2165</v>
      </c>
      <c r="I351" s="386" t="s">
        <v>2165</v>
      </c>
      <c r="J351" s="387" t="s">
        <v>2165</v>
      </c>
      <c r="K351" s="282" t="s">
        <v>2165</v>
      </c>
      <c r="L351" s="285" t="s">
        <v>2165</v>
      </c>
    </row>
    <row r="352" spans="1:12" ht="30" x14ac:dyDescent="0.25">
      <c r="A352" s="375" t="s">
        <v>1397</v>
      </c>
      <c r="B352" s="376" t="s">
        <v>1397</v>
      </c>
      <c r="C352" s="370" t="s">
        <v>2165</v>
      </c>
      <c r="D352" s="370" t="s">
        <v>2165</v>
      </c>
      <c r="E352" s="371" t="s">
        <v>1562</v>
      </c>
      <c r="F352" s="376" t="s">
        <v>34</v>
      </c>
      <c r="G352" s="377"/>
      <c r="H352" s="372" t="s">
        <v>2165</v>
      </c>
      <c r="I352" s="373" t="s">
        <v>2165</v>
      </c>
      <c r="J352" s="374">
        <v>17.48</v>
      </c>
      <c r="K352" s="378">
        <v>7001120560</v>
      </c>
      <c r="L352" s="379">
        <v>0</v>
      </c>
    </row>
    <row r="353" spans="1:12" ht="30" x14ac:dyDescent="0.25">
      <c r="A353" s="375" t="s">
        <v>1398</v>
      </c>
      <c r="B353" s="376" t="s">
        <v>1398</v>
      </c>
      <c r="C353" s="370" t="s">
        <v>2165</v>
      </c>
      <c r="D353" s="370" t="s">
        <v>2165</v>
      </c>
      <c r="E353" s="371" t="s">
        <v>1563</v>
      </c>
      <c r="F353" s="376" t="s">
        <v>34</v>
      </c>
      <c r="G353" s="377"/>
      <c r="H353" s="372" t="s">
        <v>2165</v>
      </c>
      <c r="I353" s="373" t="s">
        <v>2165</v>
      </c>
      <c r="J353" s="374">
        <v>28.320000000000004</v>
      </c>
      <c r="K353" s="378">
        <v>7001120561</v>
      </c>
      <c r="L353" s="379">
        <v>0</v>
      </c>
    </row>
    <row r="354" spans="1:12" s="182" customFormat="1" x14ac:dyDescent="0.25">
      <c r="A354" s="375" t="s">
        <v>739</v>
      </c>
      <c r="B354" s="376" t="s">
        <v>739</v>
      </c>
      <c r="C354" s="370" t="s">
        <v>2165</v>
      </c>
      <c r="D354" s="370" t="s">
        <v>2165</v>
      </c>
      <c r="E354" s="371" t="s">
        <v>1522</v>
      </c>
      <c r="F354" s="376" t="s">
        <v>31</v>
      </c>
      <c r="G354" s="377"/>
      <c r="H354" s="372" t="s">
        <v>2165</v>
      </c>
      <c r="I354" s="373" t="s">
        <v>2165</v>
      </c>
      <c r="J354" s="374">
        <v>9.870000000000001</v>
      </c>
      <c r="K354" s="378">
        <v>7001120386</v>
      </c>
      <c r="L354" s="379">
        <v>0</v>
      </c>
    </row>
    <row r="355" spans="1:12" s="182" customFormat="1" x14ac:dyDescent="0.25">
      <c r="A355" s="375" t="s">
        <v>2031</v>
      </c>
      <c r="B355" s="376" t="s">
        <v>2031</v>
      </c>
      <c r="C355" s="370" t="s">
        <v>2165</v>
      </c>
      <c r="D355" s="370" t="s">
        <v>2165</v>
      </c>
      <c r="E355" s="371" t="s">
        <v>2034</v>
      </c>
      <c r="F355" s="376" t="s">
        <v>34</v>
      </c>
      <c r="G355" s="377"/>
      <c r="H355" s="372" t="s">
        <v>2165</v>
      </c>
      <c r="I355" s="373" t="s">
        <v>2165</v>
      </c>
      <c r="J355" s="374">
        <v>16.739999999999998</v>
      </c>
      <c r="K355" s="378">
        <v>7001382131</v>
      </c>
      <c r="L355" s="379">
        <v>0</v>
      </c>
    </row>
    <row r="356" spans="1:12" s="182" customFormat="1" x14ac:dyDescent="0.25">
      <c r="A356" s="375" t="s">
        <v>2032</v>
      </c>
      <c r="B356" s="376" t="s">
        <v>2032</v>
      </c>
      <c r="C356" s="370" t="s">
        <v>2165</v>
      </c>
      <c r="D356" s="370" t="s">
        <v>2165</v>
      </c>
      <c r="E356" s="371" t="s">
        <v>2033</v>
      </c>
      <c r="F356" s="376" t="s">
        <v>1974</v>
      </c>
      <c r="G356" s="377"/>
      <c r="H356" s="372" t="s">
        <v>2165</v>
      </c>
      <c r="I356" s="373" t="s">
        <v>2165</v>
      </c>
      <c r="J356" s="374">
        <v>12</v>
      </c>
      <c r="K356" s="378">
        <v>7002020958</v>
      </c>
      <c r="L356" s="379">
        <v>0</v>
      </c>
    </row>
    <row r="357" spans="1:12" s="10" customFormat="1" x14ac:dyDescent="0.25">
      <c r="A357" s="34">
        <v>37</v>
      </c>
      <c r="B357" s="174" t="s">
        <v>2165</v>
      </c>
      <c r="C357" s="383" t="s">
        <v>2165</v>
      </c>
      <c r="D357" s="383" t="s">
        <v>2165</v>
      </c>
      <c r="E357" s="384" t="s">
        <v>529</v>
      </c>
      <c r="F357" s="174"/>
      <c r="G357" s="175"/>
      <c r="H357" s="385" t="s">
        <v>2165</v>
      </c>
      <c r="I357" s="386" t="s">
        <v>2165</v>
      </c>
      <c r="J357" s="387" t="s">
        <v>2165</v>
      </c>
      <c r="K357" s="282" t="s">
        <v>2165</v>
      </c>
      <c r="L357" s="285" t="s">
        <v>2165</v>
      </c>
    </row>
    <row r="358" spans="1:12" x14ac:dyDescent="0.25">
      <c r="A358" s="375" t="s">
        <v>1419</v>
      </c>
      <c r="B358" s="376" t="s">
        <v>1419</v>
      </c>
      <c r="C358" s="370" t="s">
        <v>2165</v>
      </c>
      <c r="D358" s="370" t="s">
        <v>2165</v>
      </c>
      <c r="E358" s="371" t="s">
        <v>1482</v>
      </c>
      <c r="F358" s="376" t="s">
        <v>34</v>
      </c>
      <c r="G358" s="377"/>
      <c r="H358" s="372" t="s">
        <v>2165</v>
      </c>
      <c r="I358" s="373" t="s">
        <v>2165</v>
      </c>
      <c r="J358" s="374">
        <v>426.51</v>
      </c>
      <c r="K358" s="378">
        <v>7001120566</v>
      </c>
      <c r="L358" s="379">
        <v>0</v>
      </c>
    </row>
    <row r="359" spans="1:12" ht="41.25" customHeight="1" x14ac:dyDescent="0.25">
      <c r="A359" s="375" t="s">
        <v>1393</v>
      </c>
      <c r="B359" s="376" t="s">
        <v>1393</v>
      </c>
      <c r="C359" s="370" t="s">
        <v>2165</v>
      </c>
      <c r="D359" s="370" t="s">
        <v>2165</v>
      </c>
      <c r="E359" s="371" t="s">
        <v>1564</v>
      </c>
      <c r="F359" s="376" t="s">
        <v>34</v>
      </c>
      <c r="G359" s="377"/>
      <c r="H359" s="372" t="s">
        <v>2165</v>
      </c>
      <c r="I359" s="373" t="s">
        <v>2165</v>
      </c>
      <c r="J359" s="374">
        <v>499.10999999999996</v>
      </c>
      <c r="K359" s="378">
        <v>7001120558</v>
      </c>
      <c r="L359" s="379">
        <v>0</v>
      </c>
    </row>
    <row r="360" spans="1:12" ht="30" x14ac:dyDescent="0.25">
      <c r="A360" s="375" t="s">
        <v>740</v>
      </c>
      <c r="B360" s="376" t="s">
        <v>740</v>
      </c>
      <c r="C360" s="370" t="s">
        <v>2165</v>
      </c>
      <c r="D360" s="370" t="s">
        <v>2165</v>
      </c>
      <c r="E360" s="371" t="s">
        <v>1565</v>
      </c>
      <c r="F360" s="376" t="s">
        <v>34</v>
      </c>
      <c r="G360" s="377"/>
      <c r="H360" s="372" t="s">
        <v>2165</v>
      </c>
      <c r="I360" s="373" t="s">
        <v>2165</v>
      </c>
      <c r="J360" s="374">
        <v>229.39</v>
      </c>
      <c r="K360" s="378">
        <v>7001120034</v>
      </c>
      <c r="L360" s="379">
        <v>7.2348726358606716E-2</v>
      </c>
    </row>
    <row r="361" spans="1:12" ht="30" x14ac:dyDescent="0.25">
      <c r="A361" s="375" t="s">
        <v>741</v>
      </c>
      <c r="B361" s="376" t="s">
        <v>741</v>
      </c>
      <c r="C361" s="370" t="s">
        <v>2165</v>
      </c>
      <c r="D361" s="370" t="s">
        <v>2165</v>
      </c>
      <c r="E361" s="371" t="s">
        <v>1566</v>
      </c>
      <c r="F361" s="376" t="s">
        <v>34</v>
      </c>
      <c r="G361" s="377"/>
      <c r="H361" s="372" t="s">
        <v>2165</v>
      </c>
      <c r="I361" s="373" t="s">
        <v>2165</v>
      </c>
      <c r="J361" s="374">
        <v>233.76999999999998</v>
      </c>
      <c r="K361" s="378">
        <v>7001120035</v>
      </c>
      <c r="L361" s="379">
        <v>7.6510896242920526E-2</v>
      </c>
    </row>
    <row r="362" spans="1:12" ht="30" x14ac:dyDescent="0.25">
      <c r="A362" s="375" t="s">
        <v>742</v>
      </c>
      <c r="B362" s="376" t="s">
        <v>742</v>
      </c>
      <c r="C362" s="370" t="s">
        <v>2165</v>
      </c>
      <c r="D362" s="370" t="s">
        <v>2165</v>
      </c>
      <c r="E362" s="371" t="s">
        <v>1567</v>
      </c>
      <c r="F362" s="376" t="s">
        <v>34</v>
      </c>
      <c r="G362" s="377"/>
      <c r="H362" s="372" t="s">
        <v>2165</v>
      </c>
      <c r="I362" s="373" t="s">
        <v>2165</v>
      </c>
      <c r="J362" s="374">
        <v>239.63</v>
      </c>
      <c r="K362" s="378">
        <v>7001120036</v>
      </c>
      <c r="L362" s="379">
        <v>8.0730275728470857E-2</v>
      </c>
    </row>
    <row r="363" spans="1:12" ht="30" x14ac:dyDescent="0.25">
      <c r="A363" s="375" t="s">
        <v>743</v>
      </c>
      <c r="B363" s="376" t="s">
        <v>743</v>
      </c>
      <c r="C363" s="370" t="s">
        <v>2165</v>
      </c>
      <c r="D363" s="370" t="s">
        <v>2165</v>
      </c>
      <c r="E363" s="371" t="s">
        <v>1568</v>
      </c>
      <c r="F363" s="376" t="s">
        <v>34</v>
      </c>
      <c r="G363" s="377"/>
      <c r="H363" s="372" t="s">
        <v>2165</v>
      </c>
      <c r="I363" s="373" t="s">
        <v>2165</v>
      </c>
      <c r="J363" s="374">
        <v>251.61</v>
      </c>
      <c r="K363" s="378">
        <v>7001120037</v>
      </c>
      <c r="L363" s="379">
        <v>8.9281774157508792E-2</v>
      </c>
    </row>
    <row r="364" spans="1:12" s="10" customFormat="1" x14ac:dyDescent="0.25">
      <c r="A364" s="34">
        <v>38</v>
      </c>
      <c r="B364" s="174" t="s">
        <v>2165</v>
      </c>
      <c r="C364" s="383" t="s">
        <v>2165</v>
      </c>
      <c r="D364" s="383" t="s">
        <v>2165</v>
      </c>
      <c r="E364" s="384" t="s">
        <v>2054</v>
      </c>
      <c r="F364" s="174"/>
      <c r="G364" s="175"/>
      <c r="H364" s="385" t="s">
        <v>2165</v>
      </c>
      <c r="I364" s="386" t="s">
        <v>2165</v>
      </c>
      <c r="J364" s="387" t="s">
        <v>2165</v>
      </c>
      <c r="K364" s="282" t="s">
        <v>2165</v>
      </c>
      <c r="L364" s="285" t="s">
        <v>2165</v>
      </c>
    </row>
    <row r="365" spans="1:12" s="10" customFormat="1" x14ac:dyDescent="0.25">
      <c r="A365" s="34">
        <v>39</v>
      </c>
      <c r="B365" s="174" t="s">
        <v>2165</v>
      </c>
      <c r="C365" s="383" t="s">
        <v>2165</v>
      </c>
      <c r="D365" s="383" t="s">
        <v>2165</v>
      </c>
      <c r="E365" s="384" t="s">
        <v>530</v>
      </c>
      <c r="F365" s="174"/>
      <c r="G365" s="175"/>
      <c r="H365" s="385" t="s">
        <v>2165</v>
      </c>
      <c r="I365" s="386" t="s">
        <v>2165</v>
      </c>
      <c r="J365" s="387" t="s">
        <v>2165</v>
      </c>
      <c r="K365" s="282" t="s">
        <v>2165</v>
      </c>
      <c r="L365" s="285" t="s">
        <v>2165</v>
      </c>
    </row>
    <row r="366" spans="1:12" ht="18" customHeight="1" x14ac:dyDescent="0.25">
      <c r="A366" s="375" t="s">
        <v>744</v>
      </c>
      <c r="B366" s="376" t="s">
        <v>744</v>
      </c>
      <c r="C366" s="370" t="s">
        <v>2165</v>
      </c>
      <c r="D366" s="370" t="s">
        <v>2165</v>
      </c>
      <c r="E366" s="371" t="s">
        <v>2094</v>
      </c>
      <c r="F366" s="376" t="s">
        <v>34</v>
      </c>
      <c r="G366" s="377"/>
      <c r="H366" s="372" t="s">
        <v>2165</v>
      </c>
      <c r="I366" s="373" t="s">
        <v>2165</v>
      </c>
      <c r="J366" s="374">
        <v>773.03</v>
      </c>
      <c r="K366" s="378">
        <v>7001120040</v>
      </c>
      <c r="L366" s="379">
        <v>0</v>
      </c>
    </row>
    <row r="367" spans="1:12" x14ac:dyDescent="0.25">
      <c r="A367" s="375" t="s">
        <v>745</v>
      </c>
      <c r="B367" s="376" t="s">
        <v>745</v>
      </c>
      <c r="C367" s="370" t="s">
        <v>2165</v>
      </c>
      <c r="D367" s="370" t="s">
        <v>2165</v>
      </c>
      <c r="E367" s="371" t="s">
        <v>2095</v>
      </c>
      <c r="F367" s="376" t="s">
        <v>34</v>
      </c>
      <c r="G367" s="377"/>
      <c r="H367" s="372" t="s">
        <v>2165</v>
      </c>
      <c r="I367" s="373" t="s">
        <v>2165</v>
      </c>
      <c r="J367" s="374">
        <v>560.08000000000004</v>
      </c>
      <c r="K367" s="378">
        <v>7001120043</v>
      </c>
      <c r="L367" s="379">
        <v>0</v>
      </c>
    </row>
    <row r="368" spans="1:12" x14ac:dyDescent="0.25">
      <c r="A368" s="375" t="s">
        <v>746</v>
      </c>
      <c r="B368" s="376" t="s">
        <v>746</v>
      </c>
      <c r="C368" s="370" t="s">
        <v>2165</v>
      </c>
      <c r="D368" s="370" t="s">
        <v>2165</v>
      </c>
      <c r="E368" s="371" t="s">
        <v>2096</v>
      </c>
      <c r="F368" s="376" t="s">
        <v>34</v>
      </c>
      <c r="G368" s="377"/>
      <c r="H368" s="372" t="s">
        <v>2165</v>
      </c>
      <c r="I368" s="373" t="s">
        <v>2165</v>
      </c>
      <c r="J368" s="374">
        <v>496.06</v>
      </c>
      <c r="K368" s="378">
        <v>7001120044</v>
      </c>
      <c r="L368" s="379">
        <v>0</v>
      </c>
    </row>
    <row r="369" spans="1:12" x14ac:dyDescent="0.25">
      <c r="A369" s="375" t="s">
        <v>747</v>
      </c>
      <c r="B369" s="376" t="s">
        <v>747</v>
      </c>
      <c r="C369" s="370" t="s">
        <v>2165</v>
      </c>
      <c r="D369" s="370" t="s">
        <v>2165</v>
      </c>
      <c r="E369" s="371" t="s">
        <v>2097</v>
      </c>
      <c r="F369" s="376" t="s">
        <v>34</v>
      </c>
      <c r="G369" s="377"/>
      <c r="H369" s="372" t="s">
        <v>2165</v>
      </c>
      <c r="I369" s="373" t="s">
        <v>2165</v>
      </c>
      <c r="J369" s="374">
        <v>472.96000000000004</v>
      </c>
      <c r="K369" s="378">
        <v>7001120045</v>
      </c>
      <c r="L369" s="379">
        <v>0</v>
      </c>
    </row>
    <row r="370" spans="1:12" x14ac:dyDescent="0.25">
      <c r="A370" s="376" t="s">
        <v>748</v>
      </c>
      <c r="B370" s="376" t="s">
        <v>748</v>
      </c>
      <c r="C370" s="370" t="s">
        <v>2165</v>
      </c>
      <c r="D370" s="370" t="s">
        <v>2165</v>
      </c>
      <c r="E370" s="371" t="s">
        <v>1569</v>
      </c>
      <c r="F370" s="376" t="s">
        <v>34</v>
      </c>
      <c r="G370" s="377"/>
      <c r="H370" s="372" t="s">
        <v>2165</v>
      </c>
      <c r="I370" s="373" t="s">
        <v>2165</v>
      </c>
      <c r="J370" s="374">
        <v>442.63</v>
      </c>
      <c r="K370" s="378">
        <v>7001120051</v>
      </c>
      <c r="L370" s="379">
        <v>8.8787474866141011E-2</v>
      </c>
    </row>
    <row r="371" spans="1:12" s="10" customFormat="1" x14ac:dyDescent="0.25">
      <c r="A371" s="34">
        <v>40</v>
      </c>
      <c r="B371" s="174" t="s">
        <v>2165</v>
      </c>
      <c r="C371" s="383" t="s">
        <v>2165</v>
      </c>
      <c r="D371" s="383" t="s">
        <v>2165</v>
      </c>
      <c r="E371" s="384" t="s">
        <v>531</v>
      </c>
      <c r="F371" s="174"/>
      <c r="G371" s="175"/>
      <c r="H371" s="385" t="s">
        <v>2165</v>
      </c>
      <c r="I371" s="386" t="s">
        <v>2165</v>
      </c>
      <c r="J371" s="387" t="s">
        <v>2165</v>
      </c>
      <c r="K371" s="282" t="s">
        <v>2165</v>
      </c>
      <c r="L371" s="285" t="s">
        <v>2165</v>
      </c>
    </row>
    <row r="372" spans="1:12" ht="38.25" customHeight="1" x14ac:dyDescent="0.25">
      <c r="A372" s="376" t="s">
        <v>749</v>
      </c>
      <c r="B372" s="376" t="s">
        <v>749</v>
      </c>
      <c r="C372" s="370" t="s">
        <v>2165</v>
      </c>
      <c r="D372" s="370" t="s">
        <v>2165</v>
      </c>
      <c r="E372" s="371" t="s">
        <v>1570</v>
      </c>
      <c r="F372" s="376" t="s">
        <v>29</v>
      </c>
      <c r="G372" s="377"/>
      <c r="H372" s="372" t="s">
        <v>2165</v>
      </c>
      <c r="I372" s="373" t="s">
        <v>2165</v>
      </c>
      <c r="J372" s="374">
        <v>4.34</v>
      </c>
      <c r="K372" s="378">
        <v>7001130100</v>
      </c>
      <c r="L372" s="379">
        <v>0</v>
      </c>
    </row>
    <row r="373" spans="1:12" x14ac:dyDescent="0.25">
      <c r="A373" s="376" t="s">
        <v>750</v>
      </c>
      <c r="B373" s="376" t="s">
        <v>750</v>
      </c>
      <c r="C373" s="370" t="s">
        <v>2165</v>
      </c>
      <c r="D373" s="370" t="s">
        <v>2165</v>
      </c>
      <c r="E373" s="371" t="s">
        <v>1571</v>
      </c>
      <c r="F373" s="376" t="s">
        <v>29</v>
      </c>
      <c r="G373" s="377"/>
      <c r="H373" s="372" t="s">
        <v>2165</v>
      </c>
      <c r="I373" s="373" t="s">
        <v>2165</v>
      </c>
      <c r="J373" s="374">
        <v>18.2</v>
      </c>
      <c r="K373" s="378">
        <v>7001130002</v>
      </c>
      <c r="L373" s="379">
        <v>0</v>
      </c>
    </row>
    <row r="374" spans="1:12" s="10" customFormat="1" x14ac:dyDescent="0.25">
      <c r="A374" s="34">
        <v>41</v>
      </c>
      <c r="B374" s="174" t="s">
        <v>2165</v>
      </c>
      <c r="C374" s="383" t="s">
        <v>2165</v>
      </c>
      <c r="D374" s="383" t="s">
        <v>2165</v>
      </c>
      <c r="E374" s="384" t="s">
        <v>2054</v>
      </c>
      <c r="F374" s="174"/>
      <c r="G374" s="175"/>
      <c r="H374" s="385" t="s">
        <v>2165</v>
      </c>
      <c r="I374" s="386" t="s">
        <v>2165</v>
      </c>
      <c r="J374" s="387" t="s">
        <v>2165</v>
      </c>
      <c r="K374" s="282" t="s">
        <v>2165</v>
      </c>
      <c r="L374" s="285" t="s">
        <v>2165</v>
      </c>
    </row>
    <row r="375" spans="1:12" s="10" customFormat="1" x14ac:dyDescent="0.25">
      <c r="A375" s="34">
        <v>42</v>
      </c>
      <c r="B375" s="174" t="s">
        <v>2165</v>
      </c>
      <c r="C375" s="383" t="s">
        <v>2165</v>
      </c>
      <c r="D375" s="383" t="s">
        <v>2165</v>
      </c>
      <c r="E375" s="384" t="s">
        <v>2054</v>
      </c>
      <c r="F375" s="174"/>
      <c r="G375" s="175"/>
      <c r="H375" s="385" t="s">
        <v>2165</v>
      </c>
      <c r="I375" s="386" t="s">
        <v>2165</v>
      </c>
      <c r="J375" s="387" t="s">
        <v>2165</v>
      </c>
      <c r="K375" s="282" t="s">
        <v>2165</v>
      </c>
      <c r="L375" s="285" t="s">
        <v>2165</v>
      </c>
    </row>
    <row r="376" spans="1:12" s="10" customFormat="1" x14ac:dyDescent="0.25">
      <c r="A376" s="34">
        <v>43</v>
      </c>
      <c r="B376" s="174" t="s">
        <v>2165</v>
      </c>
      <c r="C376" s="383" t="s">
        <v>2165</v>
      </c>
      <c r="D376" s="383" t="s">
        <v>2165</v>
      </c>
      <c r="E376" s="384" t="s">
        <v>532</v>
      </c>
      <c r="F376" s="174"/>
      <c r="G376" s="175"/>
      <c r="H376" s="385" t="s">
        <v>2165</v>
      </c>
      <c r="I376" s="386" t="s">
        <v>2165</v>
      </c>
      <c r="J376" s="387" t="s">
        <v>2165</v>
      </c>
      <c r="K376" s="282" t="s">
        <v>2165</v>
      </c>
      <c r="L376" s="285" t="s">
        <v>2165</v>
      </c>
    </row>
    <row r="377" spans="1:12" ht="30" x14ac:dyDescent="0.25">
      <c r="A377" s="375" t="s">
        <v>751</v>
      </c>
      <c r="B377" s="376" t="s">
        <v>751</v>
      </c>
      <c r="C377" s="370" t="s">
        <v>2165</v>
      </c>
      <c r="D377" s="370" t="s">
        <v>2165</v>
      </c>
      <c r="E377" s="371" t="s">
        <v>1572</v>
      </c>
      <c r="F377" s="376" t="s">
        <v>29</v>
      </c>
      <c r="G377" s="377"/>
      <c r="H377" s="372" t="s">
        <v>2165</v>
      </c>
      <c r="I377" s="373" t="s">
        <v>2165</v>
      </c>
      <c r="J377" s="374">
        <v>206.66</v>
      </c>
      <c r="K377" s="378">
        <v>7001130239</v>
      </c>
      <c r="L377" s="379">
        <v>0.80794541759411598</v>
      </c>
    </row>
    <row r="378" spans="1:12" x14ac:dyDescent="0.25">
      <c r="A378" s="375" t="s">
        <v>752</v>
      </c>
      <c r="B378" s="376" t="s">
        <v>752</v>
      </c>
      <c r="C378" s="370" t="s">
        <v>2165</v>
      </c>
      <c r="D378" s="370" t="s">
        <v>2165</v>
      </c>
      <c r="E378" s="371" t="s">
        <v>1573</v>
      </c>
      <c r="F378" s="376" t="s">
        <v>29</v>
      </c>
      <c r="G378" s="377"/>
      <c r="H378" s="372" t="s">
        <v>2165</v>
      </c>
      <c r="I378" s="373" t="s">
        <v>2165</v>
      </c>
      <c r="J378" s="374">
        <v>237.39</v>
      </c>
      <c r="K378" s="378">
        <v>7001130240</v>
      </c>
      <c r="L378" s="379">
        <v>0.89435106786301033</v>
      </c>
    </row>
    <row r="379" spans="1:12" ht="30" x14ac:dyDescent="0.25">
      <c r="A379" s="375" t="s">
        <v>753</v>
      </c>
      <c r="B379" s="376" t="s">
        <v>753</v>
      </c>
      <c r="C379" s="370" t="s">
        <v>2165</v>
      </c>
      <c r="D379" s="370" t="s">
        <v>2165</v>
      </c>
      <c r="E379" s="371" t="s">
        <v>1574</v>
      </c>
      <c r="F379" s="376" t="s">
        <v>29</v>
      </c>
      <c r="G379" s="377"/>
      <c r="H379" s="372" t="s">
        <v>2165</v>
      </c>
      <c r="I379" s="373" t="s">
        <v>2165</v>
      </c>
      <c r="J379" s="374">
        <v>11.850000000000001</v>
      </c>
      <c r="K379" s="378">
        <v>7001130398</v>
      </c>
      <c r="L379" s="379">
        <v>0</v>
      </c>
    </row>
    <row r="380" spans="1:12" s="10" customFormat="1" x14ac:dyDescent="0.25">
      <c r="A380" s="34">
        <v>44</v>
      </c>
      <c r="B380" s="174" t="s">
        <v>2165</v>
      </c>
      <c r="C380" s="383" t="s">
        <v>2165</v>
      </c>
      <c r="D380" s="383" t="s">
        <v>2165</v>
      </c>
      <c r="E380" s="384" t="s">
        <v>533</v>
      </c>
      <c r="F380" s="174"/>
      <c r="G380" s="175"/>
      <c r="H380" s="385" t="s">
        <v>2165</v>
      </c>
      <c r="I380" s="386" t="s">
        <v>2165</v>
      </c>
      <c r="J380" s="387" t="s">
        <v>2165</v>
      </c>
      <c r="K380" s="282" t="s">
        <v>2165</v>
      </c>
      <c r="L380" s="285" t="s">
        <v>2165</v>
      </c>
    </row>
    <row r="381" spans="1:12" ht="36.75" customHeight="1" x14ac:dyDescent="0.25">
      <c r="A381" s="375" t="s">
        <v>754</v>
      </c>
      <c r="B381" s="376" t="s">
        <v>754</v>
      </c>
      <c r="C381" s="370" t="s">
        <v>2165</v>
      </c>
      <c r="D381" s="370" t="s">
        <v>2165</v>
      </c>
      <c r="E381" s="371" t="s">
        <v>1575</v>
      </c>
      <c r="F381" s="376" t="s">
        <v>29</v>
      </c>
      <c r="G381" s="377"/>
      <c r="H381" s="372" t="s">
        <v>2165</v>
      </c>
      <c r="I381" s="373" t="s">
        <v>2165</v>
      </c>
      <c r="J381" s="374">
        <v>123.96</v>
      </c>
      <c r="K381" s="378">
        <v>7001130466</v>
      </c>
      <c r="L381" s="379">
        <v>0</v>
      </c>
    </row>
    <row r="382" spans="1:12" s="10" customFormat="1" x14ac:dyDescent="0.25">
      <c r="A382" s="34">
        <v>45</v>
      </c>
      <c r="B382" s="174" t="s">
        <v>2165</v>
      </c>
      <c r="C382" s="383" t="s">
        <v>2165</v>
      </c>
      <c r="D382" s="383" t="s">
        <v>2165</v>
      </c>
      <c r="E382" s="384" t="s">
        <v>2054</v>
      </c>
      <c r="F382" s="174"/>
      <c r="G382" s="175"/>
      <c r="H382" s="385" t="s">
        <v>2165</v>
      </c>
      <c r="I382" s="386" t="s">
        <v>2165</v>
      </c>
      <c r="J382" s="387" t="s">
        <v>2165</v>
      </c>
      <c r="K382" s="282" t="s">
        <v>2165</v>
      </c>
      <c r="L382" s="285" t="s">
        <v>2165</v>
      </c>
    </row>
    <row r="383" spans="1:12" s="10" customFormat="1" x14ac:dyDescent="0.25">
      <c r="A383" s="34">
        <v>46</v>
      </c>
      <c r="B383" s="174" t="s">
        <v>2165</v>
      </c>
      <c r="C383" s="383" t="s">
        <v>2165</v>
      </c>
      <c r="D383" s="383" t="s">
        <v>2165</v>
      </c>
      <c r="E383" s="384" t="s">
        <v>534</v>
      </c>
      <c r="F383" s="174"/>
      <c r="G383" s="175"/>
      <c r="H383" s="385" t="s">
        <v>2165</v>
      </c>
      <c r="I383" s="386" t="s">
        <v>2165</v>
      </c>
      <c r="J383" s="387" t="s">
        <v>2165</v>
      </c>
      <c r="K383" s="282" t="s">
        <v>2165</v>
      </c>
      <c r="L383" s="285" t="s">
        <v>2165</v>
      </c>
    </row>
    <row r="384" spans="1:12" ht="30" x14ac:dyDescent="0.25">
      <c r="A384" s="375" t="s">
        <v>755</v>
      </c>
      <c r="B384" s="376" t="s">
        <v>755</v>
      </c>
      <c r="C384" s="370" t="s">
        <v>2165</v>
      </c>
      <c r="D384" s="370" t="s">
        <v>2165</v>
      </c>
      <c r="E384" s="371" t="s">
        <v>1576</v>
      </c>
      <c r="F384" s="376" t="s">
        <v>29</v>
      </c>
      <c r="G384" s="377"/>
      <c r="H384" s="372" t="s">
        <v>2165</v>
      </c>
      <c r="I384" s="373" t="s">
        <v>2165</v>
      </c>
      <c r="J384" s="374">
        <v>411.63</v>
      </c>
      <c r="K384" s="378">
        <v>7001140001</v>
      </c>
      <c r="L384" s="379">
        <v>0</v>
      </c>
    </row>
    <row r="385" spans="1:12" ht="30" x14ac:dyDescent="0.25">
      <c r="A385" s="375" t="s">
        <v>756</v>
      </c>
      <c r="B385" s="376" t="s">
        <v>756</v>
      </c>
      <c r="C385" s="370" t="s">
        <v>2165</v>
      </c>
      <c r="D385" s="370" t="s">
        <v>2165</v>
      </c>
      <c r="E385" s="371" t="s">
        <v>1577</v>
      </c>
      <c r="F385" s="376" t="s">
        <v>29</v>
      </c>
      <c r="G385" s="377"/>
      <c r="H385" s="372" t="s">
        <v>2165</v>
      </c>
      <c r="I385" s="373" t="s">
        <v>2165</v>
      </c>
      <c r="J385" s="374">
        <v>1293.79</v>
      </c>
      <c r="K385" s="378">
        <v>7001140002</v>
      </c>
      <c r="L385" s="379">
        <v>0</v>
      </c>
    </row>
    <row r="386" spans="1:12" ht="30" x14ac:dyDescent="0.25">
      <c r="A386" s="375" t="s">
        <v>757</v>
      </c>
      <c r="B386" s="376" t="s">
        <v>757</v>
      </c>
      <c r="C386" s="370" t="s">
        <v>2165</v>
      </c>
      <c r="D386" s="370" t="s">
        <v>2165</v>
      </c>
      <c r="E386" s="371" t="s">
        <v>1578</v>
      </c>
      <c r="F386" s="376" t="s">
        <v>23</v>
      </c>
      <c r="G386" s="377"/>
      <c r="H386" s="372" t="s">
        <v>2165</v>
      </c>
      <c r="I386" s="373" t="s">
        <v>2165</v>
      </c>
      <c r="J386" s="374">
        <v>704.16000000000008</v>
      </c>
      <c r="K386" s="378">
        <v>7001140194</v>
      </c>
      <c r="L386" s="379">
        <v>0</v>
      </c>
    </row>
    <row r="387" spans="1:12" s="10" customFormat="1" x14ac:dyDescent="0.25">
      <c r="A387" s="34">
        <v>47</v>
      </c>
      <c r="B387" s="174" t="s">
        <v>2165</v>
      </c>
      <c r="C387" s="383" t="s">
        <v>2165</v>
      </c>
      <c r="D387" s="383" t="s">
        <v>2165</v>
      </c>
      <c r="E387" s="384" t="s">
        <v>535</v>
      </c>
      <c r="F387" s="174"/>
      <c r="G387" s="175"/>
      <c r="H387" s="385" t="s">
        <v>2165</v>
      </c>
      <c r="I387" s="386" t="s">
        <v>2165</v>
      </c>
      <c r="J387" s="387" t="s">
        <v>2165</v>
      </c>
      <c r="K387" s="282" t="s">
        <v>2165</v>
      </c>
      <c r="L387" s="285" t="s">
        <v>2165</v>
      </c>
    </row>
    <row r="388" spans="1:12" ht="30" x14ac:dyDescent="0.25">
      <c r="A388" s="375" t="s">
        <v>758</v>
      </c>
      <c r="B388" s="376" t="s">
        <v>758</v>
      </c>
      <c r="C388" s="370" t="s">
        <v>2165</v>
      </c>
      <c r="D388" s="370" t="s">
        <v>2165</v>
      </c>
      <c r="E388" s="371" t="s">
        <v>1579</v>
      </c>
      <c r="F388" s="376" t="s">
        <v>29</v>
      </c>
      <c r="G388" s="377"/>
      <c r="H388" s="372" t="s">
        <v>2165</v>
      </c>
      <c r="I388" s="373" t="s">
        <v>2165</v>
      </c>
      <c r="J388" s="374">
        <v>1131.18</v>
      </c>
      <c r="K388" s="378">
        <v>7001140003</v>
      </c>
      <c r="L388" s="379">
        <v>0.67051220849024906</v>
      </c>
    </row>
    <row r="389" spans="1:12" ht="30" x14ac:dyDescent="0.25">
      <c r="A389" s="375" t="s">
        <v>759</v>
      </c>
      <c r="B389" s="376" t="s">
        <v>759</v>
      </c>
      <c r="C389" s="370" t="s">
        <v>2165</v>
      </c>
      <c r="D389" s="370" t="s">
        <v>2165</v>
      </c>
      <c r="E389" s="371" t="s">
        <v>1581</v>
      </c>
      <c r="F389" s="376" t="s">
        <v>29</v>
      </c>
      <c r="G389" s="377"/>
      <c r="H389" s="372" t="s">
        <v>2165</v>
      </c>
      <c r="I389" s="373" t="s">
        <v>2165</v>
      </c>
      <c r="J389" s="374">
        <v>1093.58</v>
      </c>
      <c r="K389" s="378">
        <v>7001140004</v>
      </c>
      <c r="L389" s="379">
        <v>0</v>
      </c>
    </row>
    <row r="390" spans="1:12" ht="30" x14ac:dyDescent="0.25">
      <c r="A390" s="375" t="s">
        <v>760</v>
      </c>
      <c r="B390" s="376" t="s">
        <v>760</v>
      </c>
      <c r="C390" s="370" t="s">
        <v>2165</v>
      </c>
      <c r="D390" s="370" t="s">
        <v>2165</v>
      </c>
      <c r="E390" s="371" t="s">
        <v>1582</v>
      </c>
      <c r="F390" s="376" t="s">
        <v>29</v>
      </c>
      <c r="G390" s="377"/>
      <c r="H390" s="372" t="s">
        <v>2165</v>
      </c>
      <c r="I390" s="373" t="s">
        <v>2165</v>
      </c>
      <c r="J390" s="374">
        <v>266.83999999999997</v>
      </c>
      <c r="K390" s="378">
        <v>7001140005</v>
      </c>
      <c r="L390" s="379">
        <v>0</v>
      </c>
    </row>
    <row r="391" spans="1:12" ht="30" x14ac:dyDescent="0.25">
      <c r="A391" s="375" t="s">
        <v>761</v>
      </c>
      <c r="B391" s="376" t="s">
        <v>761</v>
      </c>
      <c r="C391" s="370" t="s">
        <v>2165</v>
      </c>
      <c r="D391" s="370" t="s">
        <v>2165</v>
      </c>
      <c r="E391" s="371" t="s">
        <v>1583</v>
      </c>
      <c r="F391" s="376" t="s">
        <v>29</v>
      </c>
      <c r="G391" s="377"/>
      <c r="H391" s="372" t="s">
        <v>2165</v>
      </c>
      <c r="I391" s="373" t="s">
        <v>2165</v>
      </c>
      <c r="J391" s="374">
        <v>428.72</v>
      </c>
      <c r="K391" s="378">
        <v>7001140006</v>
      </c>
      <c r="L391" s="379">
        <v>0</v>
      </c>
    </row>
    <row r="392" spans="1:12" s="10" customFormat="1" x14ac:dyDescent="0.25">
      <c r="A392" s="34">
        <v>48</v>
      </c>
      <c r="B392" s="174" t="s">
        <v>2165</v>
      </c>
      <c r="C392" s="383" t="s">
        <v>2165</v>
      </c>
      <c r="D392" s="383" t="s">
        <v>2165</v>
      </c>
      <c r="E392" s="384" t="s">
        <v>536</v>
      </c>
      <c r="F392" s="174"/>
      <c r="G392" s="175"/>
      <c r="H392" s="385" t="s">
        <v>2165</v>
      </c>
      <c r="I392" s="386" t="s">
        <v>2165</v>
      </c>
      <c r="J392" s="387" t="s">
        <v>2165</v>
      </c>
      <c r="K392" s="282" t="s">
        <v>2165</v>
      </c>
      <c r="L392" s="285" t="s">
        <v>2165</v>
      </c>
    </row>
    <row r="393" spans="1:12" x14ac:dyDescent="0.25">
      <c r="A393" s="375" t="s">
        <v>762</v>
      </c>
      <c r="B393" s="376" t="s">
        <v>762</v>
      </c>
      <c r="C393" s="370" t="s">
        <v>2165</v>
      </c>
      <c r="D393" s="370" t="s">
        <v>2165</v>
      </c>
      <c r="E393" s="371" t="s">
        <v>1584</v>
      </c>
      <c r="F393" s="376" t="s">
        <v>29</v>
      </c>
      <c r="G393" s="377"/>
      <c r="H393" s="372" t="s">
        <v>2165</v>
      </c>
      <c r="I393" s="373" t="s">
        <v>2165</v>
      </c>
      <c r="J393" s="374">
        <v>126.08000000000001</v>
      </c>
      <c r="K393" s="378">
        <v>7001140007</v>
      </c>
      <c r="L393" s="379">
        <v>0</v>
      </c>
    </row>
    <row r="394" spans="1:12" x14ac:dyDescent="0.25">
      <c r="A394" s="375" t="s">
        <v>763</v>
      </c>
      <c r="B394" s="376" t="s">
        <v>763</v>
      </c>
      <c r="C394" s="370" t="s">
        <v>2165</v>
      </c>
      <c r="D394" s="370" t="s">
        <v>2165</v>
      </c>
      <c r="E394" s="371" t="s">
        <v>1580</v>
      </c>
      <c r="F394" s="376" t="s">
        <v>29</v>
      </c>
      <c r="G394" s="377"/>
      <c r="H394" s="372" t="s">
        <v>2165</v>
      </c>
      <c r="I394" s="373" t="s">
        <v>2165</v>
      </c>
      <c r="J394" s="374">
        <v>142.97</v>
      </c>
      <c r="K394" s="378">
        <v>7001140008</v>
      </c>
      <c r="L394" s="379">
        <v>0</v>
      </c>
    </row>
    <row r="395" spans="1:12" x14ac:dyDescent="0.25">
      <c r="A395" s="375" t="s">
        <v>764</v>
      </c>
      <c r="B395" s="376" t="s">
        <v>764</v>
      </c>
      <c r="C395" s="370" t="s">
        <v>2165</v>
      </c>
      <c r="D395" s="370" t="s">
        <v>2165</v>
      </c>
      <c r="E395" s="371" t="s">
        <v>1585</v>
      </c>
      <c r="F395" s="376" t="s">
        <v>29</v>
      </c>
      <c r="G395" s="377"/>
      <c r="H395" s="372" t="s">
        <v>2165</v>
      </c>
      <c r="I395" s="373" t="s">
        <v>2165</v>
      </c>
      <c r="J395" s="374">
        <v>123.5</v>
      </c>
      <c r="K395" s="378">
        <v>7001140009</v>
      </c>
      <c r="L395" s="379">
        <v>0</v>
      </c>
    </row>
    <row r="396" spans="1:12" s="10" customFormat="1" x14ac:dyDescent="0.25">
      <c r="A396" s="34">
        <v>49</v>
      </c>
      <c r="B396" s="174" t="s">
        <v>2165</v>
      </c>
      <c r="C396" s="383" t="s">
        <v>2165</v>
      </c>
      <c r="D396" s="383" t="s">
        <v>2165</v>
      </c>
      <c r="E396" s="384" t="s">
        <v>537</v>
      </c>
      <c r="F396" s="174"/>
      <c r="G396" s="175"/>
      <c r="H396" s="385" t="s">
        <v>2165</v>
      </c>
      <c r="I396" s="386" t="s">
        <v>2165</v>
      </c>
      <c r="J396" s="387" t="s">
        <v>2165</v>
      </c>
      <c r="K396" s="282" t="s">
        <v>2165</v>
      </c>
      <c r="L396" s="285" t="s">
        <v>2165</v>
      </c>
    </row>
    <row r="397" spans="1:12" x14ac:dyDescent="0.25">
      <c r="A397" s="375" t="s">
        <v>765</v>
      </c>
      <c r="B397" s="376" t="s">
        <v>765</v>
      </c>
      <c r="C397" s="370" t="s">
        <v>2165</v>
      </c>
      <c r="D397" s="370" t="s">
        <v>2165</v>
      </c>
      <c r="E397" s="371" t="s">
        <v>1586</v>
      </c>
      <c r="F397" s="376" t="s">
        <v>29</v>
      </c>
      <c r="G397" s="377"/>
      <c r="H397" s="372" t="s">
        <v>2165</v>
      </c>
      <c r="I397" s="373" t="s">
        <v>2165</v>
      </c>
      <c r="J397" s="374">
        <v>73.650000000000006</v>
      </c>
      <c r="K397" s="378">
        <v>7001150002</v>
      </c>
      <c r="L397" s="379">
        <v>0</v>
      </c>
    </row>
    <row r="398" spans="1:12" x14ac:dyDescent="0.25">
      <c r="A398" s="375" t="s">
        <v>766</v>
      </c>
      <c r="B398" s="376" t="s">
        <v>766</v>
      </c>
      <c r="C398" s="370" t="s">
        <v>2165</v>
      </c>
      <c r="D398" s="370" t="s">
        <v>2165</v>
      </c>
      <c r="E398" s="371" t="s">
        <v>1587</v>
      </c>
      <c r="F398" s="376" t="s">
        <v>29</v>
      </c>
      <c r="G398" s="377"/>
      <c r="H398" s="372" t="s">
        <v>2165</v>
      </c>
      <c r="I398" s="373" t="s">
        <v>2165</v>
      </c>
      <c r="J398" s="374">
        <v>79.52</v>
      </c>
      <c r="K398" s="378">
        <v>7001150003</v>
      </c>
      <c r="L398" s="379">
        <v>0</v>
      </c>
    </row>
    <row r="399" spans="1:12" x14ac:dyDescent="0.25">
      <c r="A399" s="375" t="s">
        <v>767</v>
      </c>
      <c r="B399" s="376" t="s">
        <v>767</v>
      </c>
      <c r="C399" s="370" t="s">
        <v>2165</v>
      </c>
      <c r="D399" s="370" t="s">
        <v>2165</v>
      </c>
      <c r="E399" s="371" t="s">
        <v>1588</v>
      </c>
      <c r="F399" s="376" t="s">
        <v>29</v>
      </c>
      <c r="G399" s="377"/>
      <c r="H399" s="372" t="s">
        <v>2165</v>
      </c>
      <c r="I399" s="373" t="s">
        <v>2165</v>
      </c>
      <c r="J399" s="374">
        <v>62.39</v>
      </c>
      <c r="K399" s="378">
        <v>7001150011</v>
      </c>
      <c r="L399" s="379">
        <v>0</v>
      </c>
    </row>
    <row r="400" spans="1:12" ht="30" x14ac:dyDescent="0.25">
      <c r="A400" s="375" t="s">
        <v>768</v>
      </c>
      <c r="B400" s="376" t="s">
        <v>768</v>
      </c>
      <c r="C400" s="370" t="s">
        <v>2165</v>
      </c>
      <c r="D400" s="370" t="s">
        <v>2165</v>
      </c>
      <c r="E400" s="371" t="s">
        <v>1589</v>
      </c>
      <c r="F400" s="376" t="s">
        <v>29</v>
      </c>
      <c r="G400" s="377"/>
      <c r="H400" s="372" t="s">
        <v>2165</v>
      </c>
      <c r="I400" s="373" t="s">
        <v>2165</v>
      </c>
      <c r="J400" s="374">
        <v>83.109999999999985</v>
      </c>
      <c r="K400" s="378">
        <v>7001150005</v>
      </c>
      <c r="L400" s="379">
        <v>0</v>
      </c>
    </row>
    <row r="401" spans="1:12" ht="30" x14ac:dyDescent="0.25">
      <c r="A401" s="375" t="s">
        <v>769</v>
      </c>
      <c r="B401" s="376" t="s">
        <v>769</v>
      </c>
      <c r="C401" s="370" t="s">
        <v>2165</v>
      </c>
      <c r="D401" s="370" t="s">
        <v>2165</v>
      </c>
      <c r="E401" s="371" t="s">
        <v>1590</v>
      </c>
      <c r="F401" s="376" t="s">
        <v>29</v>
      </c>
      <c r="G401" s="377"/>
      <c r="H401" s="372" t="s">
        <v>2165</v>
      </c>
      <c r="I401" s="373" t="s">
        <v>2165</v>
      </c>
      <c r="J401" s="374">
        <v>41.54</v>
      </c>
      <c r="K401" s="378">
        <v>7001150007</v>
      </c>
      <c r="L401" s="379">
        <v>0</v>
      </c>
    </row>
    <row r="402" spans="1:12" ht="30" x14ac:dyDescent="0.25">
      <c r="A402" s="375" t="s">
        <v>770</v>
      </c>
      <c r="B402" s="376" t="s">
        <v>770</v>
      </c>
      <c r="C402" s="370" t="s">
        <v>2165</v>
      </c>
      <c r="D402" s="370" t="s">
        <v>2165</v>
      </c>
      <c r="E402" s="371" t="s">
        <v>1591</v>
      </c>
      <c r="F402" s="376" t="s">
        <v>29</v>
      </c>
      <c r="G402" s="377"/>
      <c r="H402" s="372" t="s">
        <v>2165</v>
      </c>
      <c r="I402" s="373" t="s">
        <v>2165</v>
      </c>
      <c r="J402" s="374">
        <v>52.79</v>
      </c>
      <c r="K402" s="378">
        <v>7001150008</v>
      </c>
      <c r="L402" s="379">
        <v>0</v>
      </c>
    </row>
    <row r="403" spans="1:12" s="10" customFormat="1" x14ac:dyDescent="0.25">
      <c r="A403" s="34">
        <v>50</v>
      </c>
      <c r="B403" s="174" t="s">
        <v>2165</v>
      </c>
      <c r="C403" s="383" t="s">
        <v>2165</v>
      </c>
      <c r="D403" s="383" t="s">
        <v>2165</v>
      </c>
      <c r="E403" s="384" t="s">
        <v>538</v>
      </c>
      <c r="F403" s="174"/>
      <c r="G403" s="175"/>
      <c r="H403" s="385" t="s">
        <v>2165</v>
      </c>
      <c r="I403" s="386" t="s">
        <v>2165</v>
      </c>
      <c r="J403" s="387" t="s">
        <v>2165</v>
      </c>
      <c r="K403" s="282" t="s">
        <v>2165</v>
      </c>
      <c r="L403" s="285" t="s">
        <v>2165</v>
      </c>
    </row>
    <row r="404" spans="1:12" x14ac:dyDescent="0.25">
      <c r="A404" s="375" t="s">
        <v>771</v>
      </c>
      <c r="B404" s="376" t="s">
        <v>771</v>
      </c>
      <c r="C404" s="370" t="s">
        <v>2165</v>
      </c>
      <c r="D404" s="370" t="s">
        <v>2165</v>
      </c>
      <c r="E404" s="371" t="s">
        <v>1592</v>
      </c>
      <c r="F404" s="376" t="s">
        <v>29</v>
      </c>
      <c r="G404" s="377"/>
      <c r="H404" s="372" t="s">
        <v>2165</v>
      </c>
      <c r="I404" s="373" t="s">
        <v>2165</v>
      </c>
      <c r="J404" s="374">
        <v>10.160000000000002</v>
      </c>
      <c r="K404" s="378">
        <v>7001160001</v>
      </c>
      <c r="L404" s="379">
        <v>0</v>
      </c>
    </row>
    <row r="405" spans="1:12" x14ac:dyDescent="0.25">
      <c r="A405" s="375" t="s">
        <v>772</v>
      </c>
      <c r="B405" s="376" t="s">
        <v>772</v>
      </c>
      <c r="C405" s="370" t="s">
        <v>2165</v>
      </c>
      <c r="D405" s="370" t="s">
        <v>2165</v>
      </c>
      <c r="E405" s="371" t="s">
        <v>1593</v>
      </c>
      <c r="F405" s="376" t="s">
        <v>29</v>
      </c>
      <c r="G405" s="377"/>
      <c r="H405" s="372" t="s">
        <v>2165</v>
      </c>
      <c r="I405" s="373" t="s">
        <v>2165</v>
      </c>
      <c r="J405" s="374">
        <v>12.96</v>
      </c>
      <c r="K405" s="378">
        <v>7001160002</v>
      </c>
      <c r="L405" s="379">
        <v>0</v>
      </c>
    </row>
    <row r="406" spans="1:12" s="10" customFormat="1" x14ac:dyDescent="0.25">
      <c r="A406" s="34">
        <v>51</v>
      </c>
      <c r="B406" s="174" t="s">
        <v>2165</v>
      </c>
      <c r="C406" s="383" t="s">
        <v>2165</v>
      </c>
      <c r="D406" s="383" t="s">
        <v>2165</v>
      </c>
      <c r="E406" s="384" t="s">
        <v>539</v>
      </c>
      <c r="F406" s="174"/>
      <c r="G406" s="175"/>
      <c r="H406" s="385" t="s">
        <v>2165</v>
      </c>
      <c r="I406" s="386" t="s">
        <v>2165</v>
      </c>
      <c r="J406" s="387" t="s">
        <v>2165</v>
      </c>
      <c r="K406" s="282" t="s">
        <v>2165</v>
      </c>
      <c r="L406" s="285" t="s">
        <v>2165</v>
      </c>
    </row>
    <row r="407" spans="1:12" s="182" customFormat="1" x14ac:dyDescent="0.25">
      <c r="A407" s="375" t="s">
        <v>773</v>
      </c>
      <c r="B407" s="376" t="s">
        <v>773</v>
      </c>
      <c r="C407" s="370" t="s">
        <v>2165</v>
      </c>
      <c r="D407" s="370" t="s">
        <v>2165</v>
      </c>
      <c r="E407" s="371" t="s">
        <v>2039</v>
      </c>
      <c r="F407" s="376" t="s">
        <v>29</v>
      </c>
      <c r="G407" s="377"/>
      <c r="H407" s="372" t="s">
        <v>2165</v>
      </c>
      <c r="I407" s="373" t="s">
        <v>2165</v>
      </c>
      <c r="J407" s="374">
        <v>13.87</v>
      </c>
      <c r="K407" s="378">
        <v>7001160005</v>
      </c>
      <c r="L407" s="379">
        <v>0</v>
      </c>
    </row>
    <row r="408" spans="1:12" s="10" customFormat="1" x14ac:dyDescent="0.25">
      <c r="A408" s="34">
        <v>52</v>
      </c>
      <c r="B408" s="174" t="s">
        <v>2165</v>
      </c>
      <c r="C408" s="383" t="s">
        <v>2165</v>
      </c>
      <c r="D408" s="383" t="s">
        <v>2165</v>
      </c>
      <c r="E408" s="384" t="s">
        <v>2054</v>
      </c>
      <c r="F408" s="174"/>
      <c r="G408" s="175"/>
      <c r="H408" s="385" t="s">
        <v>2165</v>
      </c>
      <c r="I408" s="386" t="s">
        <v>2165</v>
      </c>
      <c r="J408" s="387" t="s">
        <v>2165</v>
      </c>
      <c r="K408" s="282" t="s">
        <v>2165</v>
      </c>
      <c r="L408" s="285" t="s">
        <v>2165</v>
      </c>
    </row>
    <row r="409" spans="1:12" s="10" customFormat="1" x14ac:dyDescent="0.25">
      <c r="A409" s="34">
        <v>53</v>
      </c>
      <c r="B409" s="174" t="s">
        <v>2165</v>
      </c>
      <c r="C409" s="383" t="s">
        <v>2165</v>
      </c>
      <c r="D409" s="383" t="s">
        <v>2165</v>
      </c>
      <c r="E409" s="384" t="s">
        <v>2054</v>
      </c>
      <c r="F409" s="174"/>
      <c r="G409" s="175"/>
      <c r="H409" s="385" t="s">
        <v>2165</v>
      </c>
      <c r="I409" s="386" t="s">
        <v>2165</v>
      </c>
      <c r="J409" s="387" t="s">
        <v>2165</v>
      </c>
      <c r="K409" s="282" t="s">
        <v>2165</v>
      </c>
      <c r="L409" s="285" t="s">
        <v>2165</v>
      </c>
    </row>
    <row r="410" spans="1:12" s="10" customFormat="1" x14ac:dyDescent="0.25">
      <c r="A410" s="34">
        <v>54</v>
      </c>
      <c r="B410" s="174" t="s">
        <v>2165</v>
      </c>
      <c r="C410" s="383" t="s">
        <v>2165</v>
      </c>
      <c r="D410" s="383" t="s">
        <v>2165</v>
      </c>
      <c r="E410" s="384" t="s">
        <v>2054</v>
      </c>
      <c r="F410" s="174"/>
      <c r="G410" s="175"/>
      <c r="H410" s="385" t="s">
        <v>2165</v>
      </c>
      <c r="I410" s="386" t="s">
        <v>2165</v>
      </c>
      <c r="J410" s="387" t="s">
        <v>2165</v>
      </c>
      <c r="K410" s="282" t="s">
        <v>2165</v>
      </c>
      <c r="L410" s="285" t="s">
        <v>2165</v>
      </c>
    </row>
    <row r="411" spans="1:12" s="10" customFormat="1" x14ac:dyDescent="0.25">
      <c r="A411" s="34">
        <v>55</v>
      </c>
      <c r="B411" s="174" t="s">
        <v>2165</v>
      </c>
      <c r="C411" s="383" t="s">
        <v>2165</v>
      </c>
      <c r="D411" s="383" t="s">
        <v>2165</v>
      </c>
      <c r="E411" s="384" t="s">
        <v>540</v>
      </c>
      <c r="F411" s="174"/>
      <c r="G411" s="175"/>
      <c r="H411" s="385" t="s">
        <v>2165</v>
      </c>
      <c r="I411" s="386" t="s">
        <v>2165</v>
      </c>
      <c r="J411" s="387" t="s">
        <v>2165</v>
      </c>
      <c r="K411" s="282" t="s">
        <v>2165</v>
      </c>
      <c r="L411" s="285" t="s">
        <v>2165</v>
      </c>
    </row>
    <row r="412" spans="1:12" x14ac:dyDescent="0.25">
      <c r="A412" s="375" t="s">
        <v>774</v>
      </c>
      <c r="B412" s="376" t="s">
        <v>774</v>
      </c>
      <c r="C412" s="370" t="s">
        <v>2165</v>
      </c>
      <c r="D412" s="370" t="s">
        <v>2165</v>
      </c>
      <c r="E412" s="371" t="s">
        <v>1594</v>
      </c>
      <c r="F412" s="376" t="s">
        <v>29</v>
      </c>
      <c r="G412" s="377"/>
      <c r="H412" s="372" t="s">
        <v>2165</v>
      </c>
      <c r="I412" s="373" t="s">
        <v>2165</v>
      </c>
      <c r="J412" s="374">
        <v>45.620000000000005</v>
      </c>
      <c r="K412" s="378">
        <v>7001160013</v>
      </c>
      <c r="L412" s="379">
        <v>0</v>
      </c>
    </row>
    <row r="413" spans="1:12" s="10" customFormat="1" x14ac:dyDescent="0.25">
      <c r="A413" s="34">
        <v>56</v>
      </c>
      <c r="B413" s="174" t="s">
        <v>2165</v>
      </c>
      <c r="C413" s="383" t="s">
        <v>2165</v>
      </c>
      <c r="D413" s="383" t="s">
        <v>2165</v>
      </c>
      <c r="E413" s="384" t="s">
        <v>541</v>
      </c>
      <c r="F413" s="174"/>
      <c r="G413" s="175"/>
      <c r="H413" s="385" t="s">
        <v>2165</v>
      </c>
      <c r="I413" s="386" t="s">
        <v>2165</v>
      </c>
      <c r="J413" s="387" t="s">
        <v>2165</v>
      </c>
      <c r="K413" s="282" t="s">
        <v>2165</v>
      </c>
      <c r="L413" s="285" t="s">
        <v>2165</v>
      </c>
    </row>
    <row r="414" spans="1:12" x14ac:dyDescent="0.25">
      <c r="A414" s="375" t="s">
        <v>775</v>
      </c>
      <c r="B414" s="376" t="s">
        <v>775</v>
      </c>
      <c r="C414" s="370" t="s">
        <v>2165</v>
      </c>
      <c r="D414" s="370" t="s">
        <v>2165</v>
      </c>
      <c r="E414" s="371" t="s">
        <v>1595</v>
      </c>
      <c r="F414" s="376" t="s">
        <v>149</v>
      </c>
      <c r="G414" s="377"/>
      <c r="H414" s="372" t="s">
        <v>2165</v>
      </c>
      <c r="I414" s="373" t="s">
        <v>2165</v>
      </c>
      <c r="J414" s="374">
        <v>28.75</v>
      </c>
      <c r="K414" s="378">
        <v>7002020641</v>
      </c>
      <c r="L414" s="379">
        <v>0</v>
      </c>
    </row>
    <row r="415" spans="1:12" s="10" customFormat="1" x14ac:dyDescent="0.25">
      <c r="A415" s="34">
        <v>57</v>
      </c>
      <c r="B415" s="174" t="s">
        <v>2165</v>
      </c>
      <c r="C415" s="383" t="s">
        <v>2165</v>
      </c>
      <c r="D415" s="383" t="s">
        <v>2165</v>
      </c>
      <c r="E415" s="384" t="s">
        <v>542</v>
      </c>
      <c r="F415" s="174"/>
      <c r="G415" s="175"/>
      <c r="H415" s="385" t="s">
        <v>2165</v>
      </c>
      <c r="I415" s="386" t="s">
        <v>2165</v>
      </c>
      <c r="J415" s="387" t="s">
        <v>2165</v>
      </c>
      <c r="K415" s="282" t="s">
        <v>2165</v>
      </c>
      <c r="L415" s="285" t="s">
        <v>2165</v>
      </c>
    </row>
    <row r="416" spans="1:12" s="141" customFormat="1" ht="45.75" customHeight="1" x14ac:dyDescent="0.25">
      <c r="A416" s="375" t="s">
        <v>1126</v>
      </c>
      <c r="B416" s="376" t="s">
        <v>1126</v>
      </c>
      <c r="C416" s="370" t="s">
        <v>2165</v>
      </c>
      <c r="D416" s="370" t="s">
        <v>2165</v>
      </c>
      <c r="E416" s="371" t="s">
        <v>1596</v>
      </c>
      <c r="F416" s="376" t="s">
        <v>29</v>
      </c>
      <c r="G416" s="377"/>
      <c r="H416" s="372" t="s">
        <v>2165</v>
      </c>
      <c r="I416" s="373" t="s">
        <v>2165</v>
      </c>
      <c r="J416" s="374">
        <v>159.46</v>
      </c>
      <c r="K416" s="378">
        <v>7001170155</v>
      </c>
      <c r="L416" s="379">
        <v>0</v>
      </c>
    </row>
    <row r="417" spans="1:12" s="10" customFormat="1" x14ac:dyDescent="0.25">
      <c r="A417" s="34">
        <v>58</v>
      </c>
      <c r="B417" s="174" t="s">
        <v>2165</v>
      </c>
      <c r="C417" s="383" t="s">
        <v>2165</v>
      </c>
      <c r="D417" s="383" t="s">
        <v>2165</v>
      </c>
      <c r="E417" s="384" t="s">
        <v>2054</v>
      </c>
      <c r="F417" s="174"/>
      <c r="G417" s="175"/>
      <c r="H417" s="385" t="s">
        <v>2165</v>
      </c>
      <c r="I417" s="386" t="s">
        <v>2165</v>
      </c>
      <c r="J417" s="387" t="s">
        <v>2165</v>
      </c>
      <c r="K417" s="282" t="s">
        <v>2165</v>
      </c>
      <c r="L417" s="285" t="s">
        <v>2165</v>
      </c>
    </row>
    <row r="418" spans="1:12" s="10" customFormat="1" x14ac:dyDescent="0.25">
      <c r="A418" s="34">
        <v>59</v>
      </c>
      <c r="B418" s="174" t="s">
        <v>2165</v>
      </c>
      <c r="C418" s="383" t="s">
        <v>2165</v>
      </c>
      <c r="D418" s="383" t="s">
        <v>2165</v>
      </c>
      <c r="E418" s="384" t="s">
        <v>2054</v>
      </c>
      <c r="F418" s="174"/>
      <c r="G418" s="175"/>
      <c r="H418" s="385" t="s">
        <v>2165</v>
      </c>
      <c r="I418" s="386" t="s">
        <v>2165</v>
      </c>
      <c r="J418" s="387" t="s">
        <v>2165</v>
      </c>
      <c r="K418" s="282" t="s">
        <v>2165</v>
      </c>
      <c r="L418" s="285" t="s">
        <v>2165</v>
      </c>
    </row>
    <row r="419" spans="1:12" s="10" customFormat="1" x14ac:dyDescent="0.25">
      <c r="A419" s="34">
        <v>60</v>
      </c>
      <c r="B419" s="174" t="s">
        <v>2165</v>
      </c>
      <c r="C419" s="383" t="s">
        <v>2165</v>
      </c>
      <c r="D419" s="383" t="s">
        <v>2165</v>
      </c>
      <c r="E419" s="384" t="s">
        <v>2054</v>
      </c>
      <c r="F419" s="174"/>
      <c r="G419" s="175"/>
      <c r="H419" s="385" t="s">
        <v>2165</v>
      </c>
      <c r="I419" s="386" t="s">
        <v>2165</v>
      </c>
      <c r="J419" s="387" t="s">
        <v>2165</v>
      </c>
      <c r="K419" s="282" t="s">
        <v>2165</v>
      </c>
      <c r="L419" s="285" t="s">
        <v>2165</v>
      </c>
    </row>
    <row r="420" spans="1:12" s="10" customFormat="1" x14ac:dyDescent="0.25">
      <c r="A420" s="34">
        <v>61</v>
      </c>
      <c r="B420" s="174" t="s">
        <v>2165</v>
      </c>
      <c r="C420" s="383" t="s">
        <v>2165</v>
      </c>
      <c r="D420" s="383" t="s">
        <v>2165</v>
      </c>
      <c r="E420" s="384" t="s">
        <v>543</v>
      </c>
      <c r="F420" s="174"/>
      <c r="G420" s="175"/>
      <c r="H420" s="385" t="s">
        <v>2165</v>
      </c>
      <c r="I420" s="386" t="s">
        <v>2165</v>
      </c>
      <c r="J420" s="387" t="s">
        <v>2165</v>
      </c>
      <c r="K420" s="282" t="s">
        <v>2165</v>
      </c>
      <c r="L420" s="285" t="s">
        <v>2165</v>
      </c>
    </row>
    <row r="421" spans="1:12" ht="30.75" customHeight="1" x14ac:dyDescent="0.25">
      <c r="A421" s="380" t="s">
        <v>776</v>
      </c>
      <c r="B421" s="380" t="s">
        <v>776</v>
      </c>
      <c r="C421" s="370" t="s">
        <v>2165</v>
      </c>
      <c r="D421" s="370" t="s">
        <v>2165</v>
      </c>
      <c r="E421" s="371" t="s">
        <v>1597</v>
      </c>
      <c r="F421" s="376" t="s">
        <v>34</v>
      </c>
      <c r="G421" s="377"/>
      <c r="H421" s="372" t="s">
        <v>2165</v>
      </c>
      <c r="I421" s="373" t="s">
        <v>2165</v>
      </c>
      <c r="J421" s="374">
        <v>1066.27</v>
      </c>
      <c r="K421" s="378">
        <v>7001120387</v>
      </c>
      <c r="L421" s="379">
        <v>1.78191264876626E-3</v>
      </c>
    </row>
    <row r="422" spans="1:12" x14ac:dyDescent="0.25">
      <c r="A422" s="380" t="s">
        <v>777</v>
      </c>
      <c r="B422" s="380" t="s">
        <v>777</v>
      </c>
      <c r="C422" s="370" t="s">
        <v>2165</v>
      </c>
      <c r="D422" s="370" t="s">
        <v>2165</v>
      </c>
      <c r="E422" s="371" t="s">
        <v>1598</v>
      </c>
      <c r="F422" s="376" t="s">
        <v>34</v>
      </c>
      <c r="G422" s="377"/>
      <c r="H422" s="372" t="s">
        <v>2165</v>
      </c>
      <c r="I422" s="373" t="s">
        <v>2165</v>
      </c>
      <c r="J422" s="374">
        <v>1313.02</v>
      </c>
      <c r="K422" s="378">
        <v>7001120567</v>
      </c>
      <c r="L422" s="379">
        <v>1.4470457418775038E-3</v>
      </c>
    </row>
    <row r="423" spans="1:12" x14ac:dyDescent="0.25">
      <c r="A423" s="380" t="s">
        <v>778</v>
      </c>
      <c r="B423" s="380" t="s">
        <v>778</v>
      </c>
      <c r="C423" s="370" t="s">
        <v>2165</v>
      </c>
      <c r="D423" s="370" t="s">
        <v>2165</v>
      </c>
      <c r="E423" s="371" t="s">
        <v>1599</v>
      </c>
      <c r="F423" s="376" t="s">
        <v>34</v>
      </c>
      <c r="G423" s="377"/>
      <c r="H423" s="372" t="s">
        <v>2165</v>
      </c>
      <c r="I423" s="373" t="s">
        <v>2165</v>
      </c>
      <c r="J423" s="374">
        <v>1333.7399999999998</v>
      </c>
      <c r="K423" s="378">
        <v>7001120568</v>
      </c>
      <c r="L423" s="379">
        <v>1.4245655075202064E-3</v>
      </c>
    </row>
    <row r="424" spans="1:12" x14ac:dyDescent="0.25">
      <c r="A424" s="380" t="s">
        <v>779</v>
      </c>
      <c r="B424" s="380" t="s">
        <v>779</v>
      </c>
      <c r="C424" s="370" t="s">
        <v>2165</v>
      </c>
      <c r="D424" s="370" t="s">
        <v>2165</v>
      </c>
      <c r="E424" s="371" t="s">
        <v>1600</v>
      </c>
      <c r="F424" s="376" t="s">
        <v>34</v>
      </c>
      <c r="G424" s="377"/>
      <c r="H424" s="372" t="s">
        <v>2165</v>
      </c>
      <c r="I424" s="373" t="s">
        <v>2165</v>
      </c>
      <c r="J424" s="374">
        <v>1408.85</v>
      </c>
      <c r="K424" s="378">
        <v>7001120569</v>
      </c>
      <c r="L424" s="379">
        <v>1.3486176668914363E-3</v>
      </c>
    </row>
    <row r="425" spans="1:12" s="10" customFormat="1" x14ac:dyDescent="0.25">
      <c r="A425" s="34">
        <v>62</v>
      </c>
      <c r="B425" s="174" t="s">
        <v>2165</v>
      </c>
      <c r="C425" s="383" t="s">
        <v>2165</v>
      </c>
      <c r="D425" s="383" t="s">
        <v>2165</v>
      </c>
      <c r="E425" s="384" t="s">
        <v>2054</v>
      </c>
      <c r="F425" s="174"/>
      <c r="G425" s="175"/>
      <c r="H425" s="385" t="s">
        <v>2165</v>
      </c>
      <c r="I425" s="386" t="s">
        <v>2165</v>
      </c>
      <c r="J425" s="387" t="s">
        <v>2165</v>
      </c>
      <c r="K425" s="282" t="s">
        <v>2165</v>
      </c>
      <c r="L425" s="285" t="s">
        <v>2165</v>
      </c>
    </row>
    <row r="426" spans="1:12" s="10" customFormat="1" x14ac:dyDescent="0.25">
      <c r="A426" s="34">
        <v>63</v>
      </c>
      <c r="B426" s="174" t="s">
        <v>2165</v>
      </c>
      <c r="C426" s="383" t="s">
        <v>2165</v>
      </c>
      <c r="D426" s="383" t="s">
        <v>2165</v>
      </c>
      <c r="E426" s="384" t="s">
        <v>2054</v>
      </c>
      <c r="F426" s="174"/>
      <c r="G426" s="175"/>
      <c r="H426" s="385" t="s">
        <v>2165</v>
      </c>
      <c r="I426" s="386" t="s">
        <v>2165</v>
      </c>
      <c r="J426" s="387" t="s">
        <v>2165</v>
      </c>
      <c r="K426" s="282" t="s">
        <v>2165</v>
      </c>
      <c r="L426" s="285" t="s">
        <v>2165</v>
      </c>
    </row>
    <row r="427" spans="1:12" s="10" customFormat="1" x14ac:dyDescent="0.25">
      <c r="A427" s="34">
        <v>64</v>
      </c>
      <c r="B427" s="174" t="s">
        <v>2165</v>
      </c>
      <c r="C427" s="383" t="s">
        <v>2165</v>
      </c>
      <c r="D427" s="383" t="s">
        <v>2165</v>
      </c>
      <c r="E427" s="384" t="s">
        <v>544</v>
      </c>
      <c r="F427" s="174"/>
      <c r="G427" s="175"/>
      <c r="H427" s="385" t="s">
        <v>2165</v>
      </c>
      <c r="I427" s="386" t="s">
        <v>2165</v>
      </c>
      <c r="J427" s="387" t="s">
        <v>2165</v>
      </c>
      <c r="K427" s="282" t="s">
        <v>2165</v>
      </c>
      <c r="L427" s="285" t="s">
        <v>2165</v>
      </c>
    </row>
    <row r="428" spans="1:12" ht="38.25" customHeight="1" x14ac:dyDescent="0.25">
      <c r="A428" s="375" t="s">
        <v>780</v>
      </c>
      <c r="B428" s="376" t="s">
        <v>780</v>
      </c>
      <c r="C428" s="370" t="s">
        <v>2165</v>
      </c>
      <c r="D428" s="370" t="s">
        <v>2165</v>
      </c>
      <c r="E428" s="371" t="s">
        <v>1602</v>
      </c>
      <c r="F428" s="376" t="s">
        <v>23</v>
      </c>
      <c r="G428" s="377"/>
      <c r="H428" s="372" t="s">
        <v>2165</v>
      </c>
      <c r="I428" s="373" t="s">
        <v>2165</v>
      </c>
      <c r="J428" s="374">
        <v>593.87</v>
      </c>
      <c r="K428" s="378">
        <v>7001190227</v>
      </c>
      <c r="L428" s="379">
        <v>0</v>
      </c>
    </row>
    <row r="429" spans="1:12" ht="30" x14ac:dyDescent="0.25">
      <c r="A429" s="375" t="s">
        <v>781</v>
      </c>
      <c r="B429" s="376" t="s">
        <v>781</v>
      </c>
      <c r="C429" s="370" t="s">
        <v>2165</v>
      </c>
      <c r="D429" s="370" t="s">
        <v>2165</v>
      </c>
      <c r="E429" s="371" t="s">
        <v>1604</v>
      </c>
      <c r="F429" s="376" t="s">
        <v>23</v>
      </c>
      <c r="G429" s="377"/>
      <c r="H429" s="372" t="s">
        <v>2165</v>
      </c>
      <c r="I429" s="373" t="s">
        <v>2165</v>
      </c>
      <c r="J429" s="374">
        <v>639.41000000000008</v>
      </c>
      <c r="K429" s="378">
        <v>7001190228</v>
      </c>
      <c r="L429" s="379">
        <v>0</v>
      </c>
    </row>
    <row r="430" spans="1:12" ht="30" x14ac:dyDescent="0.25">
      <c r="A430" s="375" t="s">
        <v>782</v>
      </c>
      <c r="B430" s="376" t="s">
        <v>782</v>
      </c>
      <c r="C430" s="370" t="s">
        <v>2165</v>
      </c>
      <c r="D430" s="370" t="s">
        <v>2165</v>
      </c>
      <c r="E430" s="371" t="s">
        <v>1605</v>
      </c>
      <c r="F430" s="376" t="s">
        <v>23</v>
      </c>
      <c r="G430" s="377"/>
      <c r="H430" s="372" t="s">
        <v>2165</v>
      </c>
      <c r="I430" s="373" t="s">
        <v>2165</v>
      </c>
      <c r="J430" s="374">
        <v>846.81000000000017</v>
      </c>
      <c r="K430" s="378">
        <v>7001190229</v>
      </c>
      <c r="L430" s="379">
        <v>0</v>
      </c>
    </row>
    <row r="431" spans="1:12" ht="30" x14ac:dyDescent="0.25">
      <c r="A431" s="375" t="s">
        <v>783</v>
      </c>
      <c r="B431" s="376" t="s">
        <v>783</v>
      </c>
      <c r="C431" s="370" t="s">
        <v>2165</v>
      </c>
      <c r="D431" s="370" t="s">
        <v>2165</v>
      </c>
      <c r="E431" s="371" t="s">
        <v>1606</v>
      </c>
      <c r="F431" s="376" t="s">
        <v>23</v>
      </c>
      <c r="G431" s="377"/>
      <c r="H431" s="372" t="s">
        <v>2165</v>
      </c>
      <c r="I431" s="373" t="s">
        <v>2165</v>
      </c>
      <c r="J431" s="374">
        <v>936.02</v>
      </c>
      <c r="K431" s="378">
        <v>7001190230</v>
      </c>
      <c r="L431" s="379">
        <v>0</v>
      </c>
    </row>
    <row r="432" spans="1:12" ht="30" x14ac:dyDescent="0.25">
      <c r="A432" s="375" t="s">
        <v>784</v>
      </c>
      <c r="B432" s="376" t="s">
        <v>784</v>
      </c>
      <c r="C432" s="370" t="s">
        <v>2165</v>
      </c>
      <c r="D432" s="370" t="s">
        <v>2165</v>
      </c>
      <c r="E432" s="371" t="s">
        <v>1607</v>
      </c>
      <c r="F432" s="376" t="s">
        <v>23</v>
      </c>
      <c r="G432" s="377"/>
      <c r="H432" s="372" t="s">
        <v>2165</v>
      </c>
      <c r="I432" s="373" t="s">
        <v>2165</v>
      </c>
      <c r="J432" s="374">
        <v>164.44</v>
      </c>
      <c r="K432" s="378">
        <v>7001190231</v>
      </c>
      <c r="L432" s="379">
        <v>0</v>
      </c>
    </row>
    <row r="433" spans="1:12" s="10" customFormat="1" x14ac:dyDescent="0.25">
      <c r="A433" s="34">
        <v>65</v>
      </c>
      <c r="B433" s="174" t="s">
        <v>2165</v>
      </c>
      <c r="C433" s="383" t="s">
        <v>2165</v>
      </c>
      <c r="D433" s="383" t="s">
        <v>2165</v>
      </c>
      <c r="E433" s="384" t="s">
        <v>545</v>
      </c>
      <c r="F433" s="174"/>
      <c r="G433" s="175"/>
      <c r="H433" s="385" t="s">
        <v>2165</v>
      </c>
      <c r="I433" s="386" t="s">
        <v>2165</v>
      </c>
      <c r="J433" s="387" t="s">
        <v>2165</v>
      </c>
      <c r="K433" s="282" t="s">
        <v>2165</v>
      </c>
      <c r="L433" s="285" t="s">
        <v>2165</v>
      </c>
    </row>
    <row r="434" spans="1:12" x14ac:dyDescent="0.25">
      <c r="A434" s="375" t="s">
        <v>1350</v>
      </c>
      <c r="B434" s="376" t="s">
        <v>1350</v>
      </c>
      <c r="C434" s="370" t="s">
        <v>2165</v>
      </c>
      <c r="D434" s="370" t="s">
        <v>2165</v>
      </c>
      <c r="E434" s="371" t="s">
        <v>1603</v>
      </c>
      <c r="F434" s="376" t="s">
        <v>23</v>
      </c>
      <c r="G434" s="377"/>
      <c r="H434" s="372" t="s">
        <v>2165</v>
      </c>
      <c r="I434" s="373" t="s">
        <v>2165</v>
      </c>
      <c r="J434" s="374">
        <v>428.23</v>
      </c>
      <c r="K434" s="378">
        <v>7001190261</v>
      </c>
      <c r="L434" s="379">
        <v>0</v>
      </c>
    </row>
    <row r="435" spans="1:12" x14ac:dyDescent="0.25">
      <c r="A435" s="375" t="s">
        <v>1351</v>
      </c>
      <c r="B435" s="376" t="s">
        <v>1351</v>
      </c>
      <c r="C435" s="370" t="s">
        <v>2165</v>
      </c>
      <c r="D435" s="370" t="s">
        <v>2165</v>
      </c>
      <c r="E435" s="371" t="s">
        <v>1608</v>
      </c>
      <c r="F435" s="376" t="s">
        <v>23</v>
      </c>
      <c r="G435" s="377"/>
      <c r="H435" s="372" t="s">
        <v>2165</v>
      </c>
      <c r="I435" s="373" t="s">
        <v>2165</v>
      </c>
      <c r="J435" s="374">
        <v>498.93</v>
      </c>
      <c r="K435" s="378">
        <v>7001190262</v>
      </c>
      <c r="L435" s="379">
        <v>0</v>
      </c>
    </row>
    <row r="436" spans="1:12" ht="30" x14ac:dyDescent="0.25">
      <c r="A436" s="375" t="s">
        <v>785</v>
      </c>
      <c r="B436" s="376" t="s">
        <v>785</v>
      </c>
      <c r="C436" s="370" t="s">
        <v>2165</v>
      </c>
      <c r="D436" s="370" t="s">
        <v>2165</v>
      </c>
      <c r="E436" s="371" t="s">
        <v>1601</v>
      </c>
      <c r="F436" s="376" t="s">
        <v>23</v>
      </c>
      <c r="G436" s="377"/>
      <c r="H436" s="372" t="s">
        <v>2165</v>
      </c>
      <c r="I436" s="373" t="s">
        <v>2165</v>
      </c>
      <c r="J436" s="374">
        <v>80.02</v>
      </c>
      <c r="K436" s="378">
        <v>7001190234</v>
      </c>
      <c r="L436" s="379">
        <v>0</v>
      </c>
    </row>
    <row r="437" spans="1:12" s="10" customFormat="1" x14ac:dyDescent="0.25">
      <c r="A437" s="34">
        <v>66</v>
      </c>
      <c r="B437" s="174" t="s">
        <v>2165</v>
      </c>
      <c r="C437" s="383" t="s">
        <v>2165</v>
      </c>
      <c r="D437" s="383" t="s">
        <v>2165</v>
      </c>
      <c r="E437" s="384" t="s">
        <v>546</v>
      </c>
      <c r="F437" s="174"/>
      <c r="G437" s="175"/>
      <c r="H437" s="385" t="s">
        <v>2165</v>
      </c>
      <c r="I437" s="386" t="s">
        <v>2165</v>
      </c>
      <c r="J437" s="387" t="s">
        <v>2165</v>
      </c>
      <c r="K437" s="282" t="s">
        <v>2165</v>
      </c>
      <c r="L437" s="285" t="s">
        <v>2165</v>
      </c>
    </row>
    <row r="438" spans="1:12" s="10" customFormat="1" x14ac:dyDescent="0.25">
      <c r="A438" s="34" t="s">
        <v>1091</v>
      </c>
      <c r="B438" s="174" t="s">
        <v>2165</v>
      </c>
      <c r="C438" s="383" t="s">
        <v>2165</v>
      </c>
      <c r="D438" s="383" t="s">
        <v>2165</v>
      </c>
      <c r="E438" s="384" t="s">
        <v>548</v>
      </c>
      <c r="F438" s="174"/>
      <c r="G438" s="175"/>
      <c r="H438" s="385" t="s">
        <v>2165</v>
      </c>
      <c r="I438" s="386" t="s">
        <v>2165</v>
      </c>
      <c r="J438" s="387" t="s">
        <v>2165</v>
      </c>
      <c r="K438" s="282" t="s">
        <v>2165</v>
      </c>
      <c r="L438" s="285" t="s">
        <v>2165</v>
      </c>
    </row>
    <row r="439" spans="1:12" ht="30" x14ac:dyDescent="0.25">
      <c r="A439" s="375" t="s">
        <v>786</v>
      </c>
      <c r="B439" s="376" t="s">
        <v>786</v>
      </c>
      <c r="C439" s="370" t="s">
        <v>2165</v>
      </c>
      <c r="D439" s="370" t="s">
        <v>2165</v>
      </c>
      <c r="E439" s="371" t="s">
        <v>1609</v>
      </c>
      <c r="F439" s="376" t="s">
        <v>20</v>
      </c>
      <c r="G439" s="377"/>
      <c r="H439" s="372" t="s">
        <v>2165</v>
      </c>
      <c r="I439" s="373" t="s">
        <v>2165</v>
      </c>
      <c r="J439" s="374">
        <v>286.53000000000003</v>
      </c>
      <c r="K439" s="378">
        <v>7001200067</v>
      </c>
      <c r="L439" s="379">
        <v>3.1810071107618458E-2</v>
      </c>
    </row>
    <row r="440" spans="1:12" s="10" customFormat="1" x14ac:dyDescent="0.25">
      <c r="A440" s="34" t="s">
        <v>1092</v>
      </c>
      <c r="B440" s="174" t="s">
        <v>2165</v>
      </c>
      <c r="C440" s="383" t="s">
        <v>2165</v>
      </c>
      <c r="D440" s="383" t="s">
        <v>2165</v>
      </c>
      <c r="E440" s="384" t="s">
        <v>2054</v>
      </c>
      <c r="F440" s="174"/>
      <c r="G440" s="175"/>
      <c r="H440" s="385" t="s">
        <v>2165</v>
      </c>
      <c r="I440" s="386" t="s">
        <v>2165</v>
      </c>
      <c r="J440" s="387" t="s">
        <v>2165</v>
      </c>
      <c r="K440" s="282" t="s">
        <v>2165</v>
      </c>
      <c r="L440" s="285" t="s">
        <v>2165</v>
      </c>
    </row>
    <row r="441" spans="1:12" s="10" customFormat="1" x14ac:dyDescent="0.25">
      <c r="A441" s="34" t="s">
        <v>1093</v>
      </c>
      <c r="B441" s="174" t="s">
        <v>2165</v>
      </c>
      <c r="C441" s="383" t="s">
        <v>2165</v>
      </c>
      <c r="D441" s="383" t="s">
        <v>2165</v>
      </c>
      <c r="E441" s="384" t="s">
        <v>550</v>
      </c>
      <c r="F441" s="174"/>
      <c r="G441" s="175"/>
      <c r="H441" s="385" t="s">
        <v>2165</v>
      </c>
      <c r="I441" s="386" t="s">
        <v>2165</v>
      </c>
      <c r="J441" s="387" t="s">
        <v>2165</v>
      </c>
      <c r="K441" s="282" t="s">
        <v>2165</v>
      </c>
      <c r="L441" s="285" t="s">
        <v>2165</v>
      </c>
    </row>
    <row r="442" spans="1:12" ht="30" x14ac:dyDescent="0.25">
      <c r="A442" s="375" t="s">
        <v>1424</v>
      </c>
      <c r="B442" s="376" t="s">
        <v>1424</v>
      </c>
      <c r="C442" s="370" t="s">
        <v>2165</v>
      </c>
      <c r="D442" s="370" t="s">
        <v>2165</v>
      </c>
      <c r="E442" s="371" t="s">
        <v>1611</v>
      </c>
      <c r="F442" s="376" t="s">
        <v>20</v>
      </c>
      <c r="G442" s="377"/>
      <c r="H442" s="372" t="s">
        <v>2165</v>
      </c>
      <c r="I442" s="373" t="s">
        <v>2165</v>
      </c>
      <c r="J442" s="374">
        <v>780.18</v>
      </c>
      <c r="K442" s="378">
        <v>7001211182</v>
      </c>
      <c r="L442" s="379">
        <v>0.12142134556154038</v>
      </c>
    </row>
    <row r="443" spans="1:12" s="10" customFormat="1" x14ac:dyDescent="0.25">
      <c r="A443" s="34" t="s">
        <v>1094</v>
      </c>
      <c r="B443" s="174" t="s">
        <v>2165</v>
      </c>
      <c r="C443" s="383" t="s">
        <v>2165</v>
      </c>
      <c r="D443" s="383" t="s">
        <v>2165</v>
      </c>
      <c r="E443" s="384" t="s">
        <v>1346</v>
      </c>
      <c r="F443" s="174"/>
      <c r="G443" s="175"/>
      <c r="H443" s="385" t="s">
        <v>2165</v>
      </c>
      <c r="I443" s="386" t="s">
        <v>2165</v>
      </c>
      <c r="J443" s="387" t="s">
        <v>2165</v>
      </c>
      <c r="K443" s="282" t="s">
        <v>2165</v>
      </c>
      <c r="L443" s="285" t="s">
        <v>2165</v>
      </c>
    </row>
    <row r="444" spans="1:12" ht="30" x14ac:dyDescent="0.25">
      <c r="A444" s="375" t="s">
        <v>787</v>
      </c>
      <c r="B444" s="376" t="s">
        <v>787</v>
      </c>
      <c r="C444" s="370" t="s">
        <v>2165</v>
      </c>
      <c r="D444" s="370" t="s">
        <v>2165</v>
      </c>
      <c r="E444" s="371" t="s">
        <v>1612</v>
      </c>
      <c r="F444" s="376" t="s">
        <v>20</v>
      </c>
      <c r="G444" s="377"/>
      <c r="H444" s="372" t="s">
        <v>2165</v>
      </c>
      <c r="I444" s="373" t="s">
        <v>2165</v>
      </c>
      <c r="J444" s="374">
        <v>2.09</v>
      </c>
      <c r="K444" s="378">
        <v>7001220185</v>
      </c>
      <c r="L444" s="379">
        <v>4.3974560772206288E-2</v>
      </c>
    </row>
    <row r="445" spans="1:12" ht="30" x14ac:dyDescent="0.25">
      <c r="A445" s="375" t="s">
        <v>788</v>
      </c>
      <c r="B445" s="376" t="s">
        <v>788</v>
      </c>
      <c r="C445" s="370" t="s">
        <v>2165</v>
      </c>
      <c r="D445" s="370" t="s">
        <v>2165</v>
      </c>
      <c r="E445" s="371" t="s">
        <v>1614</v>
      </c>
      <c r="F445" s="376" t="s">
        <v>20</v>
      </c>
      <c r="G445" s="377"/>
      <c r="H445" s="372" t="s">
        <v>2165</v>
      </c>
      <c r="I445" s="373" t="s">
        <v>2165</v>
      </c>
      <c r="J445" s="374">
        <v>3.4099999999999997</v>
      </c>
      <c r="K445" s="378">
        <v>7001220186</v>
      </c>
      <c r="L445" s="379">
        <v>7.5080989705541168E-2</v>
      </c>
    </row>
    <row r="446" spans="1:12" ht="30" x14ac:dyDescent="0.25">
      <c r="A446" s="375" t="s">
        <v>789</v>
      </c>
      <c r="B446" s="376" t="s">
        <v>789</v>
      </c>
      <c r="C446" s="370" t="s">
        <v>2165</v>
      </c>
      <c r="D446" s="370" t="s">
        <v>2165</v>
      </c>
      <c r="E446" s="371" t="s">
        <v>1616</v>
      </c>
      <c r="F446" s="376" t="s">
        <v>20</v>
      </c>
      <c r="G446" s="377"/>
      <c r="H446" s="372" t="s">
        <v>2165</v>
      </c>
      <c r="I446" s="373" t="s">
        <v>2165</v>
      </c>
      <c r="J446" s="374">
        <v>4.1500000000000004</v>
      </c>
      <c r="K446" s="378">
        <v>7001220187</v>
      </c>
      <c r="L446" s="379">
        <v>6.8811483521603017E-2</v>
      </c>
    </row>
    <row r="447" spans="1:12" s="10" customFormat="1" x14ac:dyDescent="0.25">
      <c r="A447" s="34" t="s">
        <v>1095</v>
      </c>
      <c r="B447" s="174" t="s">
        <v>2165</v>
      </c>
      <c r="C447" s="383" t="s">
        <v>2165</v>
      </c>
      <c r="D447" s="383" t="s">
        <v>2165</v>
      </c>
      <c r="E447" s="384" t="s">
        <v>551</v>
      </c>
      <c r="F447" s="174"/>
      <c r="G447" s="175"/>
      <c r="H447" s="385" t="s">
        <v>2165</v>
      </c>
      <c r="I447" s="386" t="s">
        <v>2165</v>
      </c>
      <c r="J447" s="387" t="s">
        <v>2165</v>
      </c>
      <c r="K447" s="282" t="s">
        <v>2165</v>
      </c>
      <c r="L447" s="285" t="s">
        <v>2165</v>
      </c>
    </row>
    <row r="448" spans="1:12" ht="30" x14ac:dyDescent="0.25">
      <c r="A448" s="375" t="s">
        <v>1371</v>
      </c>
      <c r="B448" s="376" t="s">
        <v>1371</v>
      </c>
      <c r="C448" s="370" t="s">
        <v>2165</v>
      </c>
      <c r="D448" s="370" t="s">
        <v>2165</v>
      </c>
      <c r="E448" s="371" t="s">
        <v>1625</v>
      </c>
      <c r="F448" s="376" t="s">
        <v>20</v>
      </c>
      <c r="G448" s="377"/>
      <c r="H448" s="372" t="s">
        <v>2165</v>
      </c>
      <c r="I448" s="373" t="s">
        <v>2165</v>
      </c>
      <c r="J448" s="374">
        <v>1.58</v>
      </c>
      <c r="K448" s="378">
        <v>7001220708</v>
      </c>
      <c r="L448" s="379">
        <v>0.14771110259245807</v>
      </c>
    </row>
    <row r="449" spans="1:12" ht="30" x14ac:dyDescent="0.25">
      <c r="A449" s="375" t="s">
        <v>1372</v>
      </c>
      <c r="B449" s="376" t="s">
        <v>1372</v>
      </c>
      <c r="C449" s="370" t="s">
        <v>2165</v>
      </c>
      <c r="D449" s="370" t="s">
        <v>2165</v>
      </c>
      <c r="E449" s="371" t="s">
        <v>1626</v>
      </c>
      <c r="F449" s="376" t="s">
        <v>20</v>
      </c>
      <c r="G449" s="377"/>
      <c r="H449" s="372" t="s">
        <v>2165</v>
      </c>
      <c r="I449" s="373" t="s">
        <v>2165</v>
      </c>
      <c r="J449" s="374">
        <v>2.09</v>
      </c>
      <c r="K449" s="378">
        <v>7001220709</v>
      </c>
      <c r="L449" s="379">
        <v>0.11166676655315012</v>
      </c>
    </row>
    <row r="450" spans="1:12" ht="30" x14ac:dyDescent="0.25">
      <c r="A450" s="375" t="s">
        <v>1373</v>
      </c>
      <c r="B450" s="376" t="s">
        <v>1373</v>
      </c>
      <c r="C450" s="370" t="s">
        <v>2165</v>
      </c>
      <c r="D450" s="370" t="s">
        <v>2165</v>
      </c>
      <c r="E450" s="371" t="s">
        <v>1627</v>
      </c>
      <c r="F450" s="376" t="s">
        <v>20</v>
      </c>
      <c r="G450" s="377"/>
      <c r="H450" s="372" t="s">
        <v>2165</v>
      </c>
      <c r="I450" s="373" t="s">
        <v>2165</v>
      </c>
      <c r="J450" s="374">
        <v>2.6500000000000004</v>
      </c>
      <c r="K450" s="378">
        <v>7001220710</v>
      </c>
      <c r="L450" s="379">
        <v>9.7854734631481644E-2</v>
      </c>
    </row>
    <row r="451" spans="1:12" ht="30" x14ac:dyDescent="0.25">
      <c r="A451" s="375" t="s">
        <v>1374</v>
      </c>
      <c r="B451" s="376" t="s">
        <v>1374</v>
      </c>
      <c r="C451" s="370" t="s">
        <v>2165</v>
      </c>
      <c r="D451" s="370" t="s">
        <v>2165</v>
      </c>
      <c r="E451" s="371" t="s">
        <v>1628</v>
      </c>
      <c r="F451" s="376" t="s">
        <v>20</v>
      </c>
      <c r="G451" s="377"/>
      <c r="H451" s="372" t="s">
        <v>2165</v>
      </c>
      <c r="I451" s="373" t="s">
        <v>2165</v>
      </c>
      <c r="J451" s="374">
        <v>2.96</v>
      </c>
      <c r="K451" s="378">
        <v>7001220711</v>
      </c>
      <c r="L451" s="379">
        <v>8.7606434720752149E-2</v>
      </c>
    </row>
    <row r="452" spans="1:12" ht="30" x14ac:dyDescent="0.25">
      <c r="A452" s="375" t="s">
        <v>1375</v>
      </c>
      <c r="B452" s="376" t="s">
        <v>1375</v>
      </c>
      <c r="C452" s="370" t="s">
        <v>2165</v>
      </c>
      <c r="D452" s="370" t="s">
        <v>2165</v>
      </c>
      <c r="E452" s="371" t="s">
        <v>1629</v>
      </c>
      <c r="F452" s="376" t="s">
        <v>20</v>
      </c>
      <c r="G452" s="377"/>
      <c r="H452" s="372" t="s">
        <v>2165</v>
      </c>
      <c r="I452" s="373" t="s">
        <v>2165</v>
      </c>
      <c r="J452" s="374">
        <v>4.3</v>
      </c>
      <c r="K452" s="378">
        <v>7001220712</v>
      </c>
      <c r="L452" s="379">
        <v>9.1061795494854381E-2</v>
      </c>
    </row>
    <row r="453" spans="1:12" ht="30" x14ac:dyDescent="0.25">
      <c r="A453" s="375" t="s">
        <v>1376</v>
      </c>
      <c r="B453" s="376" t="s">
        <v>1376</v>
      </c>
      <c r="C453" s="370" t="s">
        <v>2165</v>
      </c>
      <c r="D453" s="370" t="s">
        <v>2165</v>
      </c>
      <c r="E453" s="371" t="s">
        <v>1630</v>
      </c>
      <c r="F453" s="376" t="s">
        <v>20</v>
      </c>
      <c r="G453" s="377"/>
      <c r="H453" s="372" t="s">
        <v>2165</v>
      </c>
      <c r="I453" s="373" t="s">
        <v>2165</v>
      </c>
      <c r="J453" s="374">
        <v>5.6000000000000005</v>
      </c>
      <c r="K453" s="378">
        <v>7001220713</v>
      </c>
      <c r="L453" s="379">
        <v>0</v>
      </c>
    </row>
    <row r="454" spans="1:12" ht="30" x14ac:dyDescent="0.25">
      <c r="A454" s="375" t="s">
        <v>1377</v>
      </c>
      <c r="B454" s="376" t="s">
        <v>1377</v>
      </c>
      <c r="C454" s="370" t="s">
        <v>2165</v>
      </c>
      <c r="D454" s="370" t="s">
        <v>2165</v>
      </c>
      <c r="E454" s="371" t="s">
        <v>1631</v>
      </c>
      <c r="F454" s="376" t="s">
        <v>20</v>
      </c>
      <c r="G454" s="377"/>
      <c r="H454" s="372" t="s">
        <v>2165</v>
      </c>
      <c r="I454" s="373" t="s">
        <v>2165</v>
      </c>
      <c r="J454" s="374">
        <v>14.020000000000001</v>
      </c>
      <c r="K454" s="378">
        <v>7001220714</v>
      </c>
      <c r="L454" s="379">
        <v>0</v>
      </c>
    </row>
    <row r="455" spans="1:12" s="181" customFormat="1" ht="30" x14ac:dyDescent="0.25">
      <c r="A455" s="375" t="s">
        <v>1378</v>
      </c>
      <c r="B455" s="376" t="s">
        <v>1378</v>
      </c>
      <c r="C455" s="370" t="s">
        <v>2165</v>
      </c>
      <c r="D455" s="370" t="s">
        <v>2165</v>
      </c>
      <c r="E455" s="371" t="s">
        <v>1632</v>
      </c>
      <c r="F455" s="376" t="s">
        <v>20</v>
      </c>
      <c r="G455" s="377"/>
      <c r="H455" s="372" t="s">
        <v>2165</v>
      </c>
      <c r="I455" s="373" t="s">
        <v>2165</v>
      </c>
      <c r="J455" s="374">
        <v>15.820000000000002</v>
      </c>
      <c r="K455" s="378">
        <v>7001220715</v>
      </c>
      <c r="L455" s="379">
        <v>0</v>
      </c>
    </row>
    <row r="456" spans="1:12" ht="30" x14ac:dyDescent="0.25">
      <c r="A456" s="375" t="s">
        <v>1379</v>
      </c>
      <c r="B456" s="376" t="s">
        <v>1379</v>
      </c>
      <c r="C456" s="370" t="s">
        <v>2165</v>
      </c>
      <c r="D456" s="370" t="s">
        <v>2165</v>
      </c>
      <c r="E456" s="371" t="s">
        <v>1633</v>
      </c>
      <c r="F456" s="376" t="s">
        <v>20</v>
      </c>
      <c r="G456" s="377"/>
      <c r="H456" s="372" t="s">
        <v>2165</v>
      </c>
      <c r="I456" s="373" t="s">
        <v>2165</v>
      </c>
      <c r="J456" s="374">
        <v>17.86</v>
      </c>
      <c r="K456" s="378">
        <v>7001220716</v>
      </c>
      <c r="L456" s="379">
        <v>0</v>
      </c>
    </row>
    <row r="457" spans="1:12" s="181" customFormat="1" ht="30" x14ac:dyDescent="0.25">
      <c r="A457" s="375" t="s">
        <v>1380</v>
      </c>
      <c r="B457" s="376" t="s">
        <v>1380</v>
      </c>
      <c r="C457" s="370" t="s">
        <v>2165</v>
      </c>
      <c r="D457" s="370" t="s">
        <v>2165</v>
      </c>
      <c r="E457" s="371" t="s">
        <v>1634</v>
      </c>
      <c r="F457" s="376" t="s">
        <v>20</v>
      </c>
      <c r="G457" s="377"/>
      <c r="H457" s="372" t="s">
        <v>2165</v>
      </c>
      <c r="I457" s="373" t="s">
        <v>2165</v>
      </c>
      <c r="J457" s="374">
        <v>19.73</v>
      </c>
      <c r="K457" s="378">
        <v>7001220717</v>
      </c>
      <c r="L457" s="379">
        <v>0</v>
      </c>
    </row>
    <row r="458" spans="1:12" s="181" customFormat="1" ht="30" x14ac:dyDescent="0.25">
      <c r="A458" s="375" t="s">
        <v>1381</v>
      </c>
      <c r="B458" s="376" t="s">
        <v>1381</v>
      </c>
      <c r="C458" s="370" t="s">
        <v>2165</v>
      </c>
      <c r="D458" s="370" t="s">
        <v>2165</v>
      </c>
      <c r="E458" s="371" t="s">
        <v>1635</v>
      </c>
      <c r="F458" s="376" t="s">
        <v>20</v>
      </c>
      <c r="G458" s="377"/>
      <c r="H458" s="372" t="s">
        <v>2165</v>
      </c>
      <c r="I458" s="373" t="s">
        <v>2165</v>
      </c>
      <c r="J458" s="374">
        <v>38.710000000000008</v>
      </c>
      <c r="K458" s="378">
        <v>7001220718</v>
      </c>
      <c r="L458" s="379">
        <v>0.12850650551640247</v>
      </c>
    </row>
    <row r="459" spans="1:12" ht="30" x14ac:dyDescent="0.25">
      <c r="A459" s="375" t="s">
        <v>1382</v>
      </c>
      <c r="B459" s="376" t="s">
        <v>1382</v>
      </c>
      <c r="C459" s="370" t="s">
        <v>2165</v>
      </c>
      <c r="D459" s="370" t="s">
        <v>2165</v>
      </c>
      <c r="E459" s="371" t="s">
        <v>1636</v>
      </c>
      <c r="F459" s="376" t="s">
        <v>20</v>
      </c>
      <c r="G459" s="377"/>
      <c r="H459" s="372" t="s">
        <v>2165</v>
      </c>
      <c r="I459" s="373" t="s">
        <v>2165</v>
      </c>
      <c r="J459" s="374">
        <v>43.46</v>
      </c>
      <c r="K459" s="378">
        <v>7001220719</v>
      </c>
      <c r="L459" s="379">
        <v>0.13210948434810321</v>
      </c>
    </row>
    <row r="460" spans="1:12" ht="30" x14ac:dyDescent="0.25">
      <c r="A460" s="375" t="s">
        <v>1383</v>
      </c>
      <c r="B460" s="376" t="s">
        <v>1383</v>
      </c>
      <c r="C460" s="370" t="s">
        <v>2165</v>
      </c>
      <c r="D460" s="370" t="s">
        <v>2165</v>
      </c>
      <c r="E460" s="371" t="s">
        <v>1637</v>
      </c>
      <c r="F460" s="376" t="s">
        <v>20</v>
      </c>
      <c r="G460" s="377"/>
      <c r="H460" s="372" t="s">
        <v>2165</v>
      </c>
      <c r="I460" s="373" t="s">
        <v>2165</v>
      </c>
      <c r="J460" s="374">
        <v>48.429999999999993</v>
      </c>
      <c r="K460" s="378">
        <v>7001220720</v>
      </c>
      <c r="L460" s="379">
        <v>0.13535883142197586</v>
      </c>
    </row>
    <row r="461" spans="1:12" ht="30" x14ac:dyDescent="0.25">
      <c r="A461" s="375" t="s">
        <v>1384</v>
      </c>
      <c r="B461" s="376" t="s">
        <v>1384</v>
      </c>
      <c r="C461" s="370" t="s">
        <v>2165</v>
      </c>
      <c r="D461" s="370" t="s">
        <v>2165</v>
      </c>
      <c r="E461" s="371" t="s">
        <v>1638</v>
      </c>
      <c r="F461" s="376" t="s">
        <v>20</v>
      </c>
      <c r="G461" s="377"/>
      <c r="H461" s="372" t="s">
        <v>2165</v>
      </c>
      <c r="I461" s="373" t="s">
        <v>2165</v>
      </c>
      <c r="J461" s="374">
        <v>59.870000000000005</v>
      </c>
      <c r="K461" s="378">
        <v>7001220721</v>
      </c>
      <c r="L461" s="379">
        <v>0.12397858744784244</v>
      </c>
    </row>
    <row r="462" spans="1:12" ht="30" x14ac:dyDescent="0.25">
      <c r="A462" s="375" t="s">
        <v>1385</v>
      </c>
      <c r="B462" s="376" t="s">
        <v>1385</v>
      </c>
      <c r="C462" s="370" t="s">
        <v>2165</v>
      </c>
      <c r="D462" s="370" t="s">
        <v>2165</v>
      </c>
      <c r="E462" s="371" t="s">
        <v>1639</v>
      </c>
      <c r="F462" s="376" t="s">
        <v>20</v>
      </c>
      <c r="G462" s="377"/>
      <c r="H462" s="372" t="s">
        <v>2165</v>
      </c>
      <c r="I462" s="373" t="s">
        <v>2165</v>
      </c>
      <c r="J462" s="374">
        <v>65.59</v>
      </c>
      <c r="K462" s="378">
        <v>7001220722</v>
      </c>
      <c r="L462" s="379">
        <v>0.12576719552429455</v>
      </c>
    </row>
    <row r="463" spans="1:12" ht="30" x14ac:dyDescent="0.25">
      <c r="A463" s="375" t="s">
        <v>1386</v>
      </c>
      <c r="B463" s="376" t="s">
        <v>1386</v>
      </c>
      <c r="C463" s="370" t="s">
        <v>2165</v>
      </c>
      <c r="D463" s="370" t="s">
        <v>2165</v>
      </c>
      <c r="E463" s="371" t="s">
        <v>1640</v>
      </c>
      <c r="F463" s="376" t="s">
        <v>20</v>
      </c>
      <c r="G463" s="377"/>
      <c r="H463" s="372" t="s">
        <v>2165</v>
      </c>
      <c r="I463" s="373" t="s">
        <v>2165</v>
      </c>
      <c r="J463" s="374">
        <v>71.53</v>
      </c>
      <c r="K463" s="378">
        <v>7001220723</v>
      </c>
      <c r="L463" s="379">
        <v>0.12871560061132545</v>
      </c>
    </row>
    <row r="464" spans="1:12" s="181" customFormat="1" ht="30" x14ac:dyDescent="0.25">
      <c r="A464" s="375" t="s">
        <v>1387</v>
      </c>
      <c r="B464" s="376" t="s">
        <v>1387</v>
      </c>
      <c r="C464" s="370" t="s">
        <v>2165</v>
      </c>
      <c r="D464" s="370" t="s">
        <v>2165</v>
      </c>
      <c r="E464" s="371" t="s">
        <v>1641</v>
      </c>
      <c r="F464" s="376" t="s">
        <v>20</v>
      </c>
      <c r="G464" s="377"/>
      <c r="H464" s="372" t="s">
        <v>2165</v>
      </c>
      <c r="I464" s="373" t="s">
        <v>2165</v>
      </c>
      <c r="J464" s="374">
        <v>78.09</v>
      </c>
      <c r="K464" s="378">
        <v>7001220724</v>
      </c>
      <c r="L464" s="379">
        <v>0.13157323170033255</v>
      </c>
    </row>
    <row r="465" spans="1:12" s="181" customFormat="1" ht="30" x14ac:dyDescent="0.25">
      <c r="A465" s="375" t="s">
        <v>1388</v>
      </c>
      <c r="B465" s="376" t="s">
        <v>1388</v>
      </c>
      <c r="C465" s="370" t="s">
        <v>2165</v>
      </c>
      <c r="D465" s="370" t="s">
        <v>2165</v>
      </c>
      <c r="E465" s="371" t="s">
        <v>1642</v>
      </c>
      <c r="F465" s="376" t="s">
        <v>20</v>
      </c>
      <c r="G465" s="377"/>
      <c r="H465" s="372" t="s">
        <v>2165</v>
      </c>
      <c r="I465" s="373" t="s">
        <v>2165</v>
      </c>
      <c r="J465" s="374">
        <v>102.30999999999999</v>
      </c>
      <c r="K465" s="378">
        <v>7001220725</v>
      </c>
      <c r="L465" s="379">
        <v>0.11202269905820433</v>
      </c>
    </row>
    <row r="466" spans="1:12" s="181" customFormat="1" ht="30" x14ac:dyDescent="0.25">
      <c r="A466" s="375" t="s">
        <v>1389</v>
      </c>
      <c r="B466" s="376" t="s">
        <v>1389</v>
      </c>
      <c r="C466" s="370" t="s">
        <v>2165</v>
      </c>
      <c r="D466" s="370" t="s">
        <v>2165</v>
      </c>
      <c r="E466" s="371" t="s">
        <v>1643</v>
      </c>
      <c r="F466" s="376" t="s">
        <v>20</v>
      </c>
      <c r="G466" s="377"/>
      <c r="H466" s="372" t="s">
        <v>2165</v>
      </c>
      <c r="I466" s="373" t="s">
        <v>2165</v>
      </c>
      <c r="J466" s="374">
        <v>110.86000000000001</v>
      </c>
      <c r="K466" s="378">
        <v>7001220726</v>
      </c>
      <c r="L466" s="379">
        <v>0.11496102204883278</v>
      </c>
    </row>
    <row r="467" spans="1:12" s="181" customFormat="1" ht="30" x14ac:dyDescent="0.25">
      <c r="A467" s="375" t="s">
        <v>1390</v>
      </c>
      <c r="B467" s="376" t="s">
        <v>1390</v>
      </c>
      <c r="C467" s="370" t="s">
        <v>2165</v>
      </c>
      <c r="D467" s="370" t="s">
        <v>2165</v>
      </c>
      <c r="E467" s="371" t="s">
        <v>1644</v>
      </c>
      <c r="F467" s="376" t="s">
        <v>20</v>
      </c>
      <c r="G467" s="377"/>
      <c r="H467" s="372" t="s">
        <v>2165</v>
      </c>
      <c r="I467" s="373" t="s">
        <v>2165</v>
      </c>
      <c r="J467" s="374">
        <v>119.83000000000001</v>
      </c>
      <c r="K467" s="378">
        <v>7001220727</v>
      </c>
      <c r="L467" s="379">
        <v>0.11792893689822533</v>
      </c>
    </row>
    <row r="468" spans="1:12" s="181" customFormat="1" ht="30" x14ac:dyDescent="0.25">
      <c r="A468" s="375" t="s">
        <v>1391</v>
      </c>
      <c r="B468" s="376" t="s">
        <v>1391</v>
      </c>
      <c r="C468" s="370" t="s">
        <v>2165</v>
      </c>
      <c r="D468" s="370" t="s">
        <v>2165</v>
      </c>
      <c r="E468" s="371" t="s">
        <v>1645</v>
      </c>
      <c r="F468" s="376" t="s">
        <v>20</v>
      </c>
      <c r="G468" s="377"/>
      <c r="H468" s="372" t="s">
        <v>2165</v>
      </c>
      <c r="I468" s="373" t="s">
        <v>2165</v>
      </c>
      <c r="J468" s="374">
        <v>128.22</v>
      </c>
      <c r="K468" s="378">
        <v>7001220728</v>
      </c>
      <c r="L468" s="379">
        <v>0.12071106388937135</v>
      </c>
    </row>
    <row r="469" spans="1:12" s="181" customFormat="1" ht="30" x14ac:dyDescent="0.25">
      <c r="A469" s="375" t="s">
        <v>1392</v>
      </c>
      <c r="B469" s="376" t="s">
        <v>1392</v>
      </c>
      <c r="C469" s="370" t="s">
        <v>2165</v>
      </c>
      <c r="D469" s="370" t="s">
        <v>2165</v>
      </c>
      <c r="E469" s="371" t="s">
        <v>1646</v>
      </c>
      <c r="F469" s="376" t="s">
        <v>20</v>
      </c>
      <c r="G469" s="377"/>
      <c r="H469" s="372" t="s">
        <v>2165</v>
      </c>
      <c r="I469" s="373" t="s">
        <v>2165</v>
      </c>
      <c r="J469" s="374">
        <v>144.43999999999997</v>
      </c>
      <c r="K469" s="378">
        <v>7001220729</v>
      </c>
      <c r="L469" s="379">
        <v>0.12525342283329921</v>
      </c>
    </row>
    <row r="470" spans="1:12" s="10" customFormat="1" x14ac:dyDescent="0.25">
      <c r="A470" s="34" t="s">
        <v>1096</v>
      </c>
      <c r="B470" s="174" t="s">
        <v>2165</v>
      </c>
      <c r="C470" s="383" t="s">
        <v>2165</v>
      </c>
      <c r="D470" s="383" t="s">
        <v>2165</v>
      </c>
      <c r="E470" s="384" t="s">
        <v>552</v>
      </c>
      <c r="F470" s="174"/>
      <c r="G470" s="175"/>
      <c r="H470" s="385" t="s">
        <v>2165</v>
      </c>
      <c r="I470" s="386" t="s">
        <v>2165</v>
      </c>
      <c r="J470" s="387" t="s">
        <v>2165</v>
      </c>
      <c r="K470" s="282" t="s">
        <v>2165</v>
      </c>
      <c r="L470" s="285" t="s">
        <v>2165</v>
      </c>
    </row>
    <row r="471" spans="1:12" ht="45" x14ac:dyDescent="0.25">
      <c r="A471" s="375" t="s">
        <v>790</v>
      </c>
      <c r="B471" s="376" t="s">
        <v>790</v>
      </c>
      <c r="C471" s="370" t="s">
        <v>2165</v>
      </c>
      <c r="D471" s="370" t="s">
        <v>2165</v>
      </c>
      <c r="E471" s="371" t="s">
        <v>1647</v>
      </c>
      <c r="F471" s="376" t="s">
        <v>20</v>
      </c>
      <c r="G471" s="377"/>
      <c r="H471" s="372" t="s">
        <v>2165</v>
      </c>
      <c r="I471" s="373" t="s">
        <v>2165</v>
      </c>
      <c r="J471" s="374">
        <v>26.24</v>
      </c>
      <c r="K471" s="378">
        <v>7001220559</v>
      </c>
      <c r="L471" s="379">
        <v>0</v>
      </c>
    </row>
    <row r="472" spans="1:12" ht="45" x14ac:dyDescent="0.25">
      <c r="A472" s="375" t="s">
        <v>791</v>
      </c>
      <c r="B472" s="376" t="s">
        <v>791</v>
      </c>
      <c r="C472" s="370" t="s">
        <v>2165</v>
      </c>
      <c r="D472" s="370" t="s">
        <v>2165</v>
      </c>
      <c r="E472" s="371" t="s">
        <v>1648</v>
      </c>
      <c r="F472" s="376" t="s">
        <v>20</v>
      </c>
      <c r="G472" s="377"/>
      <c r="H472" s="372" t="s">
        <v>2165</v>
      </c>
      <c r="I472" s="373" t="s">
        <v>2165</v>
      </c>
      <c r="J472" s="374">
        <v>22.59</v>
      </c>
      <c r="K472" s="378">
        <v>7001220506</v>
      </c>
      <c r="L472" s="379">
        <v>0</v>
      </c>
    </row>
    <row r="473" spans="1:12" s="10" customFormat="1" x14ac:dyDescent="0.25">
      <c r="A473" s="34" t="s">
        <v>1097</v>
      </c>
      <c r="B473" s="174" t="s">
        <v>2165</v>
      </c>
      <c r="C473" s="383" t="s">
        <v>2165</v>
      </c>
      <c r="D473" s="383" t="s">
        <v>2165</v>
      </c>
      <c r="E473" s="384" t="s">
        <v>553</v>
      </c>
      <c r="F473" s="174"/>
      <c r="G473" s="175"/>
      <c r="H473" s="385" t="s">
        <v>2165</v>
      </c>
      <c r="I473" s="386" t="s">
        <v>2165</v>
      </c>
      <c r="J473" s="387" t="s">
        <v>2165</v>
      </c>
      <c r="K473" s="282" t="s">
        <v>2165</v>
      </c>
      <c r="L473" s="285" t="s">
        <v>2165</v>
      </c>
    </row>
    <row r="474" spans="1:12" ht="48" customHeight="1" x14ac:dyDescent="0.25">
      <c r="A474" s="375" t="s">
        <v>792</v>
      </c>
      <c r="B474" s="376" t="s">
        <v>792</v>
      </c>
      <c r="C474" s="370" t="s">
        <v>2165</v>
      </c>
      <c r="D474" s="370" t="s">
        <v>2165</v>
      </c>
      <c r="E474" s="371" t="s">
        <v>1649</v>
      </c>
      <c r="F474" s="376" t="s">
        <v>20</v>
      </c>
      <c r="G474" s="377"/>
      <c r="H474" s="372" t="s">
        <v>2165</v>
      </c>
      <c r="I474" s="373" t="s">
        <v>2165</v>
      </c>
      <c r="J474" s="374">
        <v>609.18000000000006</v>
      </c>
      <c r="K474" s="378">
        <v>7001220458</v>
      </c>
      <c r="L474" s="379">
        <v>0.30749281291191255</v>
      </c>
    </row>
    <row r="475" spans="1:12" ht="30" x14ac:dyDescent="0.25">
      <c r="A475" s="375" t="s">
        <v>793</v>
      </c>
      <c r="B475" s="376" t="s">
        <v>793</v>
      </c>
      <c r="C475" s="370" t="s">
        <v>2165</v>
      </c>
      <c r="D475" s="370" t="s">
        <v>2165</v>
      </c>
      <c r="E475" s="371" t="s">
        <v>1650</v>
      </c>
      <c r="F475" s="376" t="s">
        <v>20</v>
      </c>
      <c r="G475" s="377"/>
      <c r="H475" s="372" t="s">
        <v>2165</v>
      </c>
      <c r="I475" s="373" t="s">
        <v>2165</v>
      </c>
      <c r="J475" s="374">
        <v>996.95999999999981</v>
      </c>
      <c r="K475" s="378">
        <v>7001220459</v>
      </c>
      <c r="L475" s="379">
        <v>0.37104586036990606</v>
      </c>
    </row>
    <row r="476" spans="1:12" ht="30" x14ac:dyDescent="0.25">
      <c r="A476" s="375" t="s">
        <v>794</v>
      </c>
      <c r="B476" s="376" t="s">
        <v>794</v>
      </c>
      <c r="C476" s="370" t="s">
        <v>2165</v>
      </c>
      <c r="D476" s="370" t="s">
        <v>2165</v>
      </c>
      <c r="E476" s="371" t="s">
        <v>1651</v>
      </c>
      <c r="F476" s="376" t="s">
        <v>20</v>
      </c>
      <c r="G476" s="377"/>
      <c r="H476" s="372" t="s">
        <v>2165</v>
      </c>
      <c r="I476" s="373" t="s">
        <v>2165</v>
      </c>
      <c r="J476" s="374">
        <v>1203.9299999999996</v>
      </c>
      <c r="K476" s="378">
        <v>7001220460</v>
      </c>
      <c r="L476" s="379">
        <v>0.43822788755649894</v>
      </c>
    </row>
    <row r="477" spans="1:12" ht="30" x14ac:dyDescent="0.25">
      <c r="A477" s="375" t="s">
        <v>795</v>
      </c>
      <c r="B477" s="376" t="s">
        <v>795</v>
      </c>
      <c r="C477" s="370" t="s">
        <v>2165</v>
      </c>
      <c r="D477" s="370" t="s">
        <v>2165</v>
      </c>
      <c r="E477" s="371" t="s">
        <v>1652</v>
      </c>
      <c r="F477" s="376" t="s">
        <v>20</v>
      </c>
      <c r="G477" s="377"/>
      <c r="H477" s="372" t="s">
        <v>2165</v>
      </c>
      <c r="I477" s="373" t="s">
        <v>2165</v>
      </c>
      <c r="J477" s="374">
        <v>1172.45</v>
      </c>
      <c r="K477" s="378">
        <v>7001220461</v>
      </c>
      <c r="L477" s="379">
        <v>9.929029757438973E-2</v>
      </c>
    </row>
    <row r="478" spans="1:12" ht="30" x14ac:dyDescent="0.25">
      <c r="A478" s="375" t="s">
        <v>796</v>
      </c>
      <c r="B478" s="376" t="s">
        <v>796</v>
      </c>
      <c r="C478" s="370" t="s">
        <v>2165</v>
      </c>
      <c r="D478" s="370" t="s">
        <v>2165</v>
      </c>
      <c r="E478" s="371" t="s">
        <v>1653</v>
      </c>
      <c r="F478" s="376" t="s">
        <v>20</v>
      </c>
      <c r="G478" s="377"/>
      <c r="H478" s="372" t="s">
        <v>2165</v>
      </c>
      <c r="I478" s="373" t="s">
        <v>2165</v>
      </c>
      <c r="J478" s="374">
        <v>2159.9899999999998</v>
      </c>
      <c r="K478" s="378">
        <v>7001220462</v>
      </c>
      <c r="L478" s="379">
        <v>0.55580778033534983</v>
      </c>
    </row>
    <row r="479" spans="1:12" ht="30" x14ac:dyDescent="0.25">
      <c r="A479" s="375" t="s">
        <v>797</v>
      </c>
      <c r="B479" s="376" t="s">
        <v>797</v>
      </c>
      <c r="C479" s="370" t="s">
        <v>2165</v>
      </c>
      <c r="D479" s="370" t="s">
        <v>2165</v>
      </c>
      <c r="E479" s="371" t="s">
        <v>1654</v>
      </c>
      <c r="F479" s="376" t="s">
        <v>20</v>
      </c>
      <c r="G479" s="377"/>
      <c r="H479" s="372" t="s">
        <v>2165</v>
      </c>
      <c r="I479" s="373" t="s">
        <v>2165</v>
      </c>
      <c r="J479" s="374">
        <v>1856.1399999999999</v>
      </c>
      <c r="K479" s="378">
        <v>7001220463</v>
      </c>
      <c r="L479" s="379">
        <v>0.10534019500702396</v>
      </c>
    </row>
    <row r="480" spans="1:12" ht="30" x14ac:dyDescent="0.25">
      <c r="A480" s="375" t="s">
        <v>798</v>
      </c>
      <c r="B480" s="376" t="s">
        <v>798</v>
      </c>
      <c r="C480" s="370" t="s">
        <v>2165</v>
      </c>
      <c r="D480" s="370" t="s">
        <v>2165</v>
      </c>
      <c r="E480" s="371" t="s">
        <v>1655</v>
      </c>
      <c r="F480" s="376" t="s">
        <v>20</v>
      </c>
      <c r="G480" s="377"/>
      <c r="H480" s="372" t="s">
        <v>2165</v>
      </c>
      <c r="I480" s="373" t="s">
        <v>2165</v>
      </c>
      <c r="J480" s="374">
        <v>3326.04</v>
      </c>
      <c r="K480" s="378">
        <v>7001220464</v>
      </c>
      <c r="L480" s="379">
        <v>0.57676370684912148</v>
      </c>
    </row>
    <row r="481" spans="1:12" ht="30" x14ac:dyDescent="0.25">
      <c r="A481" s="375" t="s">
        <v>799</v>
      </c>
      <c r="B481" s="376" t="s">
        <v>799</v>
      </c>
      <c r="C481" s="370" t="s">
        <v>2165</v>
      </c>
      <c r="D481" s="370" t="s">
        <v>2165</v>
      </c>
      <c r="E481" s="371" t="s">
        <v>1656</v>
      </c>
      <c r="F481" s="376" t="s">
        <v>20</v>
      </c>
      <c r="G481" s="377"/>
      <c r="H481" s="372" t="s">
        <v>2165</v>
      </c>
      <c r="I481" s="373" t="s">
        <v>2165</v>
      </c>
      <c r="J481" s="374">
        <v>2922.26</v>
      </c>
      <c r="K481" s="378">
        <v>7001220465</v>
      </c>
      <c r="L481" s="379">
        <v>8.4325495359502206E-2</v>
      </c>
    </row>
    <row r="482" spans="1:12" ht="30" x14ac:dyDescent="0.25">
      <c r="A482" s="375" t="s">
        <v>800</v>
      </c>
      <c r="B482" s="376" t="s">
        <v>800</v>
      </c>
      <c r="C482" s="370" t="s">
        <v>2165</v>
      </c>
      <c r="D482" s="370" t="s">
        <v>2165</v>
      </c>
      <c r="E482" s="371" t="s">
        <v>1657</v>
      </c>
      <c r="F482" s="376" t="s">
        <v>20</v>
      </c>
      <c r="G482" s="377"/>
      <c r="H482" s="372" t="s">
        <v>2165</v>
      </c>
      <c r="I482" s="373" t="s">
        <v>2165</v>
      </c>
      <c r="J482" s="374">
        <v>4925.5300000000007</v>
      </c>
      <c r="K482" s="378">
        <v>7001220466</v>
      </c>
      <c r="L482" s="379">
        <v>0.65123617702004433</v>
      </c>
    </row>
    <row r="483" spans="1:12" ht="30" x14ac:dyDescent="0.25">
      <c r="A483" s="375" t="s">
        <v>801</v>
      </c>
      <c r="B483" s="376" t="s">
        <v>801</v>
      </c>
      <c r="C483" s="370" t="s">
        <v>2165</v>
      </c>
      <c r="D483" s="370" t="s">
        <v>2165</v>
      </c>
      <c r="E483" s="371" t="s">
        <v>1658</v>
      </c>
      <c r="F483" s="376" t="s">
        <v>20</v>
      </c>
      <c r="G483" s="377"/>
      <c r="H483" s="372" t="s">
        <v>2165</v>
      </c>
      <c r="I483" s="373" t="s">
        <v>2165</v>
      </c>
      <c r="J483" s="374">
        <v>6889.9299999999994</v>
      </c>
      <c r="K483" s="378">
        <v>7001220467</v>
      </c>
      <c r="L483" s="379">
        <v>0.68315497511849854</v>
      </c>
    </row>
    <row r="484" spans="1:12" ht="30" x14ac:dyDescent="0.25">
      <c r="A484" s="375" t="s">
        <v>802</v>
      </c>
      <c r="B484" s="376" t="s">
        <v>802</v>
      </c>
      <c r="C484" s="370" t="s">
        <v>2165</v>
      </c>
      <c r="D484" s="370" t="s">
        <v>2165</v>
      </c>
      <c r="E484" s="371" t="s">
        <v>1659</v>
      </c>
      <c r="F484" s="376" t="s">
        <v>20</v>
      </c>
      <c r="G484" s="377"/>
      <c r="H484" s="372" t="s">
        <v>2165</v>
      </c>
      <c r="I484" s="373" t="s">
        <v>2165</v>
      </c>
      <c r="J484" s="374">
        <v>5035.63</v>
      </c>
      <c r="K484" s="378">
        <v>7001220468</v>
      </c>
      <c r="L484" s="379">
        <v>0.51168141774162945</v>
      </c>
    </row>
    <row r="485" spans="1:12" ht="30" x14ac:dyDescent="0.25">
      <c r="A485" s="375" t="s">
        <v>803</v>
      </c>
      <c r="B485" s="376" t="s">
        <v>803</v>
      </c>
      <c r="C485" s="370" t="s">
        <v>2165</v>
      </c>
      <c r="D485" s="370" t="s">
        <v>2165</v>
      </c>
      <c r="E485" s="371" t="s">
        <v>1660</v>
      </c>
      <c r="F485" s="376" t="s">
        <v>20</v>
      </c>
      <c r="G485" s="377"/>
      <c r="H485" s="372" t="s">
        <v>2165</v>
      </c>
      <c r="I485" s="373" t="s">
        <v>2165</v>
      </c>
      <c r="J485" s="374">
        <v>6053.6699999999992</v>
      </c>
      <c r="K485" s="378">
        <v>7001220469</v>
      </c>
      <c r="L485" s="379">
        <v>0.54413109626920486</v>
      </c>
    </row>
    <row r="486" spans="1:12" ht="30" x14ac:dyDescent="0.25">
      <c r="A486" s="375" t="s">
        <v>804</v>
      </c>
      <c r="B486" s="376" t="s">
        <v>804</v>
      </c>
      <c r="C486" s="370" t="s">
        <v>2165</v>
      </c>
      <c r="D486" s="370" t="s">
        <v>2165</v>
      </c>
      <c r="E486" s="371" t="s">
        <v>1661</v>
      </c>
      <c r="F486" s="376" t="s">
        <v>20</v>
      </c>
      <c r="G486" s="377"/>
      <c r="H486" s="372" t="s">
        <v>2165</v>
      </c>
      <c r="I486" s="373" t="s">
        <v>2165</v>
      </c>
      <c r="J486" s="374">
        <v>8262.02</v>
      </c>
      <c r="K486" s="378">
        <v>7001220470</v>
      </c>
      <c r="L486" s="379">
        <v>0.62683615732367015</v>
      </c>
    </row>
    <row r="487" spans="1:12" ht="30" x14ac:dyDescent="0.25">
      <c r="A487" s="375" t="s">
        <v>805</v>
      </c>
      <c r="B487" s="376" t="s">
        <v>805</v>
      </c>
      <c r="C487" s="370" t="s">
        <v>2165</v>
      </c>
      <c r="D487" s="370" t="s">
        <v>2165</v>
      </c>
      <c r="E487" s="371" t="s">
        <v>1662</v>
      </c>
      <c r="F487" s="376" t="s">
        <v>20</v>
      </c>
      <c r="G487" s="377"/>
      <c r="H487" s="372" t="s">
        <v>2165</v>
      </c>
      <c r="I487" s="373" t="s">
        <v>2165</v>
      </c>
      <c r="J487" s="374">
        <v>9119.4599999999991</v>
      </c>
      <c r="K487" s="378">
        <v>7001220471</v>
      </c>
      <c r="L487" s="379">
        <v>0.62651605211128814</v>
      </c>
    </row>
    <row r="488" spans="1:12" ht="30" x14ac:dyDescent="0.25">
      <c r="A488" s="375" t="s">
        <v>806</v>
      </c>
      <c r="B488" s="376" t="s">
        <v>806</v>
      </c>
      <c r="C488" s="370" t="s">
        <v>2165</v>
      </c>
      <c r="D488" s="370" t="s">
        <v>2165</v>
      </c>
      <c r="E488" s="371" t="s">
        <v>1663</v>
      </c>
      <c r="F488" s="376" t="s">
        <v>20</v>
      </c>
      <c r="G488" s="377"/>
      <c r="H488" s="372" t="s">
        <v>2165</v>
      </c>
      <c r="I488" s="373" t="s">
        <v>2165</v>
      </c>
      <c r="J488" s="374">
        <v>8760.67</v>
      </c>
      <c r="K488" s="378">
        <v>7001220473</v>
      </c>
      <c r="L488" s="379">
        <v>7.4009989840526244E-2</v>
      </c>
    </row>
    <row r="489" spans="1:12" s="10" customFormat="1" x14ac:dyDescent="0.25">
      <c r="A489" s="34" t="s">
        <v>1098</v>
      </c>
      <c r="B489" s="174" t="s">
        <v>2165</v>
      </c>
      <c r="C489" s="383" t="s">
        <v>2165</v>
      </c>
      <c r="D489" s="383" t="s">
        <v>2165</v>
      </c>
      <c r="E489" s="384" t="s">
        <v>554</v>
      </c>
      <c r="F489" s="174"/>
      <c r="G489" s="175"/>
      <c r="H489" s="385" t="s">
        <v>2165</v>
      </c>
      <c r="I489" s="386" t="s">
        <v>2165</v>
      </c>
      <c r="J489" s="387" t="s">
        <v>2165</v>
      </c>
      <c r="K489" s="282" t="s">
        <v>2165</v>
      </c>
      <c r="L489" s="285" t="s">
        <v>2165</v>
      </c>
    </row>
    <row r="490" spans="1:12" ht="30" x14ac:dyDescent="0.25">
      <c r="A490" s="375" t="s">
        <v>807</v>
      </c>
      <c r="B490" s="376" t="s">
        <v>807</v>
      </c>
      <c r="C490" s="370" t="s">
        <v>2165</v>
      </c>
      <c r="D490" s="370" t="s">
        <v>2165</v>
      </c>
      <c r="E490" s="371" t="s">
        <v>1664</v>
      </c>
      <c r="F490" s="376" t="s">
        <v>20</v>
      </c>
      <c r="G490" s="377"/>
      <c r="H490" s="372" t="s">
        <v>2165</v>
      </c>
      <c r="I490" s="373" t="s">
        <v>2165</v>
      </c>
      <c r="J490" s="374">
        <v>1280.73</v>
      </c>
      <c r="K490" s="378">
        <v>7001210779</v>
      </c>
      <c r="L490" s="379">
        <v>0.24205726421650151</v>
      </c>
    </row>
    <row r="491" spans="1:12" ht="30" x14ac:dyDescent="0.25">
      <c r="A491" s="375" t="s">
        <v>808</v>
      </c>
      <c r="B491" s="376" t="s">
        <v>808</v>
      </c>
      <c r="C491" s="370" t="s">
        <v>2165</v>
      </c>
      <c r="D491" s="370" t="s">
        <v>2165</v>
      </c>
      <c r="E491" s="371" t="s">
        <v>1665</v>
      </c>
      <c r="F491" s="376" t="s">
        <v>20</v>
      </c>
      <c r="G491" s="377"/>
      <c r="H491" s="372" t="s">
        <v>2165</v>
      </c>
      <c r="I491" s="373" t="s">
        <v>2165</v>
      </c>
      <c r="J491" s="374">
        <v>1886.21</v>
      </c>
      <c r="K491" s="378">
        <v>7001210780</v>
      </c>
      <c r="L491" s="379">
        <v>0.26069207564375124</v>
      </c>
    </row>
    <row r="492" spans="1:12" ht="30" x14ac:dyDescent="0.25">
      <c r="A492" s="375" t="s">
        <v>809</v>
      </c>
      <c r="B492" s="376" t="s">
        <v>809</v>
      </c>
      <c r="C492" s="370" t="s">
        <v>2165</v>
      </c>
      <c r="D492" s="370" t="s">
        <v>2165</v>
      </c>
      <c r="E492" s="371" t="s">
        <v>1666</v>
      </c>
      <c r="F492" s="376" t="s">
        <v>20</v>
      </c>
      <c r="G492" s="377"/>
      <c r="H492" s="372" t="s">
        <v>2165</v>
      </c>
      <c r="I492" s="373" t="s">
        <v>2165</v>
      </c>
      <c r="J492" s="374">
        <v>2469.1</v>
      </c>
      <c r="K492" s="378">
        <v>7001210781</v>
      </c>
      <c r="L492" s="379">
        <v>0.19914948766757121</v>
      </c>
    </row>
    <row r="493" spans="1:12" ht="30" x14ac:dyDescent="0.25">
      <c r="A493" s="375" t="s">
        <v>810</v>
      </c>
      <c r="B493" s="376" t="s">
        <v>810</v>
      </c>
      <c r="C493" s="370" t="s">
        <v>2165</v>
      </c>
      <c r="D493" s="370" t="s">
        <v>2165</v>
      </c>
      <c r="E493" s="371" t="s">
        <v>1667</v>
      </c>
      <c r="F493" s="376" t="s">
        <v>20</v>
      </c>
      <c r="G493" s="377"/>
      <c r="H493" s="372" t="s">
        <v>2165</v>
      </c>
      <c r="I493" s="373" t="s">
        <v>2165</v>
      </c>
      <c r="J493" s="374">
        <v>3158.36</v>
      </c>
      <c r="K493" s="378">
        <v>7001210782</v>
      </c>
      <c r="L493" s="379">
        <v>0.21322141871097655</v>
      </c>
    </row>
    <row r="494" spans="1:12" ht="30" x14ac:dyDescent="0.25">
      <c r="A494" s="375" t="s">
        <v>811</v>
      </c>
      <c r="B494" s="376" t="s">
        <v>811</v>
      </c>
      <c r="C494" s="370" t="s">
        <v>2165</v>
      </c>
      <c r="D494" s="370" t="s">
        <v>2165</v>
      </c>
      <c r="E494" s="371" t="s">
        <v>1668</v>
      </c>
      <c r="F494" s="376" t="s">
        <v>20</v>
      </c>
      <c r="G494" s="377"/>
      <c r="H494" s="372" t="s">
        <v>2165</v>
      </c>
      <c r="I494" s="373" t="s">
        <v>2165</v>
      </c>
      <c r="J494" s="374">
        <v>3923.3700000000003</v>
      </c>
      <c r="K494" s="378">
        <v>7001210783</v>
      </c>
      <c r="L494" s="379">
        <v>0.21796312863686063</v>
      </c>
    </row>
    <row r="495" spans="1:12" ht="30" x14ac:dyDescent="0.25">
      <c r="A495" s="375" t="s">
        <v>812</v>
      </c>
      <c r="B495" s="376" t="s">
        <v>812</v>
      </c>
      <c r="C495" s="370" t="s">
        <v>2165</v>
      </c>
      <c r="D495" s="370" t="s">
        <v>2165</v>
      </c>
      <c r="E495" s="371" t="s">
        <v>1669</v>
      </c>
      <c r="F495" s="376" t="s">
        <v>20</v>
      </c>
      <c r="G495" s="377"/>
      <c r="H495" s="372" t="s">
        <v>2165</v>
      </c>
      <c r="I495" s="373" t="s">
        <v>2165</v>
      </c>
      <c r="J495" s="374">
        <v>4587.1000000000004</v>
      </c>
      <c r="K495" s="378">
        <v>7001210784</v>
      </c>
      <c r="L495" s="379">
        <v>0.2260382376664995</v>
      </c>
    </row>
    <row r="496" spans="1:12" ht="30" x14ac:dyDescent="0.25">
      <c r="A496" s="375" t="s">
        <v>813</v>
      </c>
      <c r="B496" s="376" t="s">
        <v>813</v>
      </c>
      <c r="C496" s="370" t="s">
        <v>2165</v>
      </c>
      <c r="D496" s="370" t="s">
        <v>2165</v>
      </c>
      <c r="E496" s="371" t="s">
        <v>1670</v>
      </c>
      <c r="F496" s="376" t="s">
        <v>20</v>
      </c>
      <c r="G496" s="377"/>
      <c r="H496" s="372" t="s">
        <v>2165</v>
      </c>
      <c r="I496" s="373" t="s">
        <v>2165</v>
      </c>
      <c r="J496" s="374">
        <v>5593.7699999999995</v>
      </c>
      <c r="K496" s="378">
        <v>7001210785</v>
      </c>
      <c r="L496" s="379">
        <v>0.21784592502015634</v>
      </c>
    </row>
    <row r="497" spans="1:12" ht="30" x14ac:dyDescent="0.25">
      <c r="A497" s="375" t="s">
        <v>814</v>
      </c>
      <c r="B497" s="376" t="s">
        <v>814</v>
      </c>
      <c r="C497" s="370" t="s">
        <v>2165</v>
      </c>
      <c r="D497" s="370" t="s">
        <v>2165</v>
      </c>
      <c r="E497" s="371" t="s">
        <v>1671</v>
      </c>
      <c r="F497" s="376" t="s">
        <v>20</v>
      </c>
      <c r="G497" s="377"/>
      <c r="H497" s="372" t="s">
        <v>2165</v>
      </c>
      <c r="I497" s="373" t="s">
        <v>2165</v>
      </c>
      <c r="J497" s="374">
        <v>6245.76</v>
      </c>
      <c r="K497" s="378">
        <v>7001210786</v>
      </c>
      <c r="L497" s="379">
        <v>0.22419849625986268</v>
      </c>
    </row>
    <row r="498" spans="1:12" ht="30" x14ac:dyDescent="0.25">
      <c r="A498" s="375" t="s">
        <v>815</v>
      </c>
      <c r="B498" s="376" t="s">
        <v>815</v>
      </c>
      <c r="C498" s="370" t="s">
        <v>2165</v>
      </c>
      <c r="D498" s="370" t="s">
        <v>2165</v>
      </c>
      <c r="E498" s="371" t="s">
        <v>1672</v>
      </c>
      <c r="F498" s="376" t="s">
        <v>20</v>
      </c>
      <c r="G498" s="377"/>
      <c r="H498" s="372" t="s">
        <v>2165</v>
      </c>
      <c r="I498" s="373" t="s">
        <v>2165</v>
      </c>
      <c r="J498" s="374">
        <v>7214.75</v>
      </c>
      <c r="K498" s="378">
        <v>7001210787</v>
      </c>
      <c r="L498" s="379">
        <v>0.21927301708305902</v>
      </c>
    </row>
    <row r="499" spans="1:12" ht="30" x14ac:dyDescent="0.25">
      <c r="A499" s="375" t="s">
        <v>816</v>
      </c>
      <c r="B499" s="376" t="s">
        <v>816</v>
      </c>
      <c r="C499" s="370" t="s">
        <v>2165</v>
      </c>
      <c r="D499" s="370" t="s">
        <v>2165</v>
      </c>
      <c r="E499" s="371" t="s">
        <v>1673</v>
      </c>
      <c r="F499" s="376" t="s">
        <v>20</v>
      </c>
      <c r="G499" s="377"/>
      <c r="H499" s="372" t="s">
        <v>2165</v>
      </c>
      <c r="I499" s="373" t="s">
        <v>2165</v>
      </c>
      <c r="J499" s="374">
        <v>8130.24</v>
      </c>
      <c r="K499" s="378">
        <v>7001210788</v>
      </c>
      <c r="L499" s="379">
        <v>0.216933325461487</v>
      </c>
    </row>
    <row r="500" spans="1:12" ht="30" x14ac:dyDescent="0.25">
      <c r="A500" s="375" t="s">
        <v>817</v>
      </c>
      <c r="B500" s="376" t="s">
        <v>817</v>
      </c>
      <c r="C500" s="370" t="s">
        <v>2165</v>
      </c>
      <c r="D500" s="370" t="s">
        <v>2165</v>
      </c>
      <c r="E500" s="371" t="s">
        <v>1674</v>
      </c>
      <c r="F500" s="376" t="s">
        <v>20</v>
      </c>
      <c r="G500" s="377"/>
      <c r="H500" s="372" t="s">
        <v>2165</v>
      </c>
      <c r="I500" s="373" t="s">
        <v>2165</v>
      </c>
      <c r="J500" s="374">
        <v>8852.77</v>
      </c>
      <c r="K500" s="378">
        <v>7001210789</v>
      </c>
      <c r="L500" s="379">
        <v>0.21975381716683026</v>
      </c>
    </row>
    <row r="501" spans="1:12" ht="30" x14ac:dyDescent="0.25">
      <c r="A501" s="375" t="s">
        <v>818</v>
      </c>
      <c r="B501" s="376" t="s">
        <v>818</v>
      </c>
      <c r="C501" s="370" t="s">
        <v>2165</v>
      </c>
      <c r="D501" s="370" t="s">
        <v>2165</v>
      </c>
      <c r="E501" s="371" t="s">
        <v>1675</v>
      </c>
      <c r="F501" s="376" t="s">
        <v>20</v>
      </c>
      <c r="G501" s="377"/>
      <c r="H501" s="372" t="s">
        <v>2165</v>
      </c>
      <c r="I501" s="373" t="s">
        <v>2165</v>
      </c>
      <c r="J501" s="374">
        <v>9415.41</v>
      </c>
      <c r="K501" s="378">
        <v>7001210790</v>
      </c>
      <c r="L501" s="379">
        <v>0.20298000830553317</v>
      </c>
    </row>
    <row r="502" spans="1:12" ht="30" x14ac:dyDescent="0.25">
      <c r="A502" s="375" t="s">
        <v>819</v>
      </c>
      <c r="B502" s="376" t="s">
        <v>819</v>
      </c>
      <c r="C502" s="370" t="s">
        <v>2165</v>
      </c>
      <c r="D502" s="370" t="s">
        <v>2165</v>
      </c>
      <c r="E502" s="371" t="s">
        <v>1676</v>
      </c>
      <c r="F502" s="376" t="s">
        <v>20</v>
      </c>
      <c r="G502" s="377"/>
      <c r="H502" s="372" t="s">
        <v>2165</v>
      </c>
      <c r="I502" s="373" t="s">
        <v>2165</v>
      </c>
      <c r="J502" s="374">
        <v>12308.35</v>
      </c>
      <c r="K502" s="378">
        <v>7001210791</v>
      </c>
      <c r="L502" s="379">
        <v>0.1875848509345282</v>
      </c>
    </row>
    <row r="503" spans="1:12" ht="30" x14ac:dyDescent="0.25">
      <c r="A503" s="375" t="s">
        <v>820</v>
      </c>
      <c r="B503" s="376" t="s">
        <v>820</v>
      </c>
      <c r="C503" s="370" t="s">
        <v>2165</v>
      </c>
      <c r="D503" s="370" t="s">
        <v>2165</v>
      </c>
      <c r="E503" s="371" t="s">
        <v>1677</v>
      </c>
      <c r="F503" s="376" t="s">
        <v>20</v>
      </c>
      <c r="G503" s="377"/>
      <c r="H503" s="372" t="s">
        <v>2165</v>
      </c>
      <c r="I503" s="373" t="s">
        <v>2165</v>
      </c>
      <c r="J503" s="374">
        <v>13224.87</v>
      </c>
      <c r="K503" s="378">
        <v>7001210792</v>
      </c>
      <c r="L503" s="379">
        <v>0.18832472455305799</v>
      </c>
    </row>
    <row r="504" spans="1:12" ht="30" x14ac:dyDescent="0.25">
      <c r="A504" s="375" t="s">
        <v>821</v>
      </c>
      <c r="B504" s="376" t="s">
        <v>821</v>
      </c>
      <c r="C504" s="370" t="s">
        <v>2165</v>
      </c>
      <c r="D504" s="370" t="s">
        <v>2165</v>
      </c>
      <c r="E504" s="371" t="s">
        <v>1678</v>
      </c>
      <c r="F504" s="376" t="s">
        <v>20</v>
      </c>
      <c r="G504" s="377"/>
      <c r="H504" s="372" t="s">
        <v>2165</v>
      </c>
      <c r="I504" s="373" t="s">
        <v>2165</v>
      </c>
      <c r="J504" s="374">
        <v>14160.22</v>
      </c>
      <c r="K504" s="378">
        <v>7001210793</v>
      </c>
      <c r="L504" s="379">
        <v>0.18871811313666031</v>
      </c>
    </row>
    <row r="505" spans="1:12" ht="30" x14ac:dyDescent="0.25">
      <c r="A505" s="375" t="s">
        <v>822</v>
      </c>
      <c r="B505" s="376" t="s">
        <v>822</v>
      </c>
      <c r="C505" s="370" t="s">
        <v>2165</v>
      </c>
      <c r="D505" s="370" t="s">
        <v>2165</v>
      </c>
      <c r="E505" s="371" t="s">
        <v>1679</v>
      </c>
      <c r="F505" s="376" t="s">
        <v>20</v>
      </c>
      <c r="G505" s="377"/>
      <c r="H505" s="372" t="s">
        <v>2165</v>
      </c>
      <c r="I505" s="373" t="s">
        <v>2165</v>
      </c>
      <c r="J505" s="374">
        <v>15108.48</v>
      </c>
      <c r="K505" s="378">
        <v>7001210794</v>
      </c>
      <c r="L505" s="379">
        <v>0.18890053797602407</v>
      </c>
    </row>
    <row r="506" spans="1:12" ht="30" x14ac:dyDescent="0.25">
      <c r="A506" s="375" t="s">
        <v>823</v>
      </c>
      <c r="B506" s="376" t="s">
        <v>823</v>
      </c>
      <c r="C506" s="370" t="s">
        <v>2165</v>
      </c>
      <c r="D506" s="370" t="s">
        <v>2165</v>
      </c>
      <c r="E506" s="371" t="s">
        <v>1680</v>
      </c>
      <c r="F506" s="376" t="s">
        <v>20</v>
      </c>
      <c r="G506" s="377"/>
      <c r="H506" s="372" t="s">
        <v>2165</v>
      </c>
      <c r="I506" s="373" t="s">
        <v>2165</v>
      </c>
      <c r="J506" s="374">
        <v>16066.529999999999</v>
      </c>
      <c r="K506" s="378">
        <v>7001210795</v>
      </c>
      <c r="L506" s="379">
        <v>0.18894683543988652</v>
      </c>
    </row>
    <row r="507" spans="1:12" ht="30" x14ac:dyDescent="0.25">
      <c r="A507" s="375" t="s">
        <v>824</v>
      </c>
      <c r="B507" s="376" t="s">
        <v>824</v>
      </c>
      <c r="C507" s="370" t="s">
        <v>2165</v>
      </c>
      <c r="D507" s="370" t="s">
        <v>2165</v>
      </c>
      <c r="E507" s="371" t="s">
        <v>1681</v>
      </c>
      <c r="F507" s="376" t="s">
        <v>20</v>
      </c>
      <c r="G507" s="377"/>
      <c r="H507" s="372" t="s">
        <v>2165</v>
      </c>
      <c r="I507" s="373" t="s">
        <v>2165</v>
      </c>
      <c r="J507" s="374">
        <v>17004.71</v>
      </c>
      <c r="K507" s="378">
        <v>7001210796</v>
      </c>
      <c r="L507" s="379">
        <v>0.18920816644329719</v>
      </c>
    </row>
    <row r="508" spans="1:12" ht="30" x14ac:dyDescent="0.25">
      <c r="A508" s="375" t="s">
        <v>825</v>
      </c>
      <c r="B508" s="376" t="s">
        <v>825</v>
      </c>
      <c r="C508" s="370" t="s">
        <v>2165</v>
      </c>
      <c r="D508" s="370" t="s">
        <v>2165</v>
      </c>
      <c r="E508" s="371" t="s">
        <v>1682</v>
      </c>
      <c r="F508" s="376" t="s">
        <v>20</v>
      </c>
      <c r="G508" s="377"/>
      <c r="H508" s="372" t="s">
        <v>2165</v>
      </c>
      <c r="I508" s="373" t="s">
        <v>2165</v>
      </c>
      <c r="J508" s="374">
        <v>17990.32</v>
      </c>
      <c r="K508" s="378">
        <v>7001210797</v>
      </c>
      <c r="L508" s="379">
        <v>0.18894272030736528</v>
      </c>
    </row>
    <row r="509" spans="1:12" ht="30" x14ac:dyDescent="0.25">
      <c r="A509" s="375" t="s">
        <v>826</v>
      </c>
      <c r="B509" s="376" t="s">
        <v>826</v>
      </c>
      <c r="C509" s="370" t="s">
        <v>2165</v>
      </c>
      <c r="D509" s="370" t="s">
        <v>2165</v>
      </c>
      <c r="E509" s="371" t="s">
        <v>1683</v>
      </c>
      <c r="F509" s="376" t="s">
        <v>20</v>
      </c>
      <c r="G509" s="377"/>
      <c r="H509" s="372" t="s">
        <v>2165</v>
      </c>
      <c r="I509" s="373" t="s">
        <v>2165</v>
      </c>
      <c r="J509" s="374">
        <v>18951.7</v>
      </c>
      <c r="K509" s="378">
        <v>7001210798</v>
      </c>
      <c r="L509" s="379">
        <v>0.18894663803247203</v>
      </c>
    </row>
    <row r="510" spans="1:12" s="10" customFormat="1" x14ac:dyDescent="0.25">
      <c r="A510" s="34">
        <v>67</v>
      </c>
      <c r="B510" s="174" t="s">
        <v>2165</v>
      </c>
      <c r="C510" s="383" t="s">
        <v>2165</v>
      </c>
      <c r="D510" s="383" t="s">
        <v>2165</v>
      </c>
      <c r="E510" s="384" t="s">
        <v>1136</v>
      </c>
      <c r="F510" s="174"/>
      <c r="G510" s="175"/>
      <c r="H510" s="385" t="s">
        <v>2165</v>
      </c>
      <c r="I510" s="386" t="s">
        <v>2165</v>
      </c>
      <c r="J510" s="387" t="s">
        <v>2165</v>
      </c>
      <c r="K510" s="282" t="s">
        <v>2165</v>
      </c>
      <c r="L510" s="285" t="s">
        <v>2165</v>
      </c>
    </row>
    <row r="511" spans="1:12" s="10" customFormat="1" x14ac:dyDescent="0.25">
      <c r="A511" s="34" t="s">
        <v>547</v>
      </c>
      <c r="B511" s="174" t="s">
        <v>2165</v>
      </c>
      <c r="C511" s="383" t="s">
        <v>2165</v>
      </c>
      <c r="D511" s="383" t="s">
        <v>2165</v>
      </c>
      <c r="E511" s="384" t="s">
        <v>555</v>
      </c>
      <c r="F511" s="174"/>
      <c r="G511" s="175"/>
      <c r="H511" s="385" t="s">
        <v>2165</v>
      </c>
      <c r="I511" s="386" t="s">
        <v>2165</v>
      </c>
      <c r="J511" s="387" t="s">
        <v>2165</v>
      </c>
      <c r="K511" s="282" t="s">
        <v>2165</v>
      </c>
      <c r="L511" s="285" t="s">
        <v>2165</v>
      </c>
    </row>
    <row r="512" spans="1:12" ht="30" x14ac:dyDescent="0.25">
      <c r="A512" s="375" t="s">
        <v>827</v>
      </c>
      <c r="B512" s="376" t="s">
        <v>827</v>
      </c>
      <c r="C512" s="370" t="s">
        <v>2165</v>
      </c>
      <c r="D512" s="370" t="s">
        <v>2165</v>
      </c>
      <c r="E512" s="371" t="s">
        <v>1684</v>
      </c>
      <c r="F512" s="376" t="s">
        <v>23</v>
      </c>
      <c r="G512" s="377"/>
      <c r="H512" s="372" t="s">
        <v>2165</v>
      </c>
      <c r="I512" s="373" t="s">
        <v>2165</v>
      </c>
      <c r="J512" s="374">
        <v>56.55</v>
      </c>
      <c r="K512" s="378">
        <v>7001210929</v>
      </c>
      <c r="L512" s="379">
        <v>0</v>
      </c>
    </row>
    <row r="513" spans="1:12" ht="30" x14ac:dyDescent="0.25">
      <c r="A513" s="375" t="s">
        <v>828</v>
      </c>
      <c r="B513" s="376" t="s">
        <v>828</v>
      </c>
      <c r="C513" s="370" t="s">
        <v>2165</v>
      </c>
      <c r="D513" s="370" t="s">
        <v>2165</v>
      </c>
      <c r="E513" s="371" t="s">
        <v>1685</v>
      </c>
      <c r="F513" s="376" t="s">
        <v>23</v>
      </c>
      <c r="G513" s="377"/>
      <c r="H513" s="372" t="s">
        <v>2165</v>
      </c>
      <c r="I513" s="373" t="s">
        <v>2165</v>
      </c>
      <c r="J513" s="374">
        <v>229.47000000000003</v>
      </c>
      <c r="K513" s="378">
        <v>7001210930</v>
      </c>
      <c r="L513" s="379">
        <v>0</v>
      </c>
    </row>
    <row r="514" spans="1:12" ht="30" x14ac:dyDescent="0.25">
      <c r="A514" s="375" t="s">
        <v>829</v>
      </c>
      <c r="B514" s="376" t="s">
        <v>829</v>
      </c>
      <c r="C514" s="370" t="s">
        <v>2165</v>
      </c>
      <c r="D514" s="370" t="s">
        <v>2165</v>
      </c>
      <c r="E514" s="371" t="s">
        <v>1686</v>
      </c>
      <c r="F514" s="376" t="s">
        <v>23</v>
      </c>
      <c r="G514" s="377"/>
      <c r="H514" s="372" t="s">
        <v>2165</v>
      </c>
      <c r="I514" s="373" t="s">
        <v>2165</v>
      </c>
      <c r="J514" s="374">
        <v>837.17000000000007</v>
      </c>
      <c r="K514" s="378">
        <v>7001210931</v>
      </c>
      <c r="L514" s="379">
        <v>7.8887982210616173E-2</v>
      </c>
    </row>
    <row r="515" spans="1:12" s="10" customFormat="1" x14ac:dyDescent="0.25">
      <c r="A515" s="34" t="s">
        <v>549</v>
      </c>
      <c r="B515" s="174" t="s">
        <v>2165</v>
      </c>
      <c r="C515" s="383" t="s">
        <v>2165</v>
      </c>
      <c r="D515" s="383" t="s">
        <v>2165</v>
      </c>
      <c r="E515" s="384" t="s">
        <v>1257</v>
      </c>
      <c r="F515" s="174"/>
      <c r="G515" s="175"/>
      <c r="H515" s="385" t="s">
        <v>2165</v>
      </c>
      <c r="I515" s="386" t="s">
        <v>2165</v>
      </c>
      <c r="J515" s="387" t="s">
        <v>2165</v>
      </c>
      <c r="K515" s="282" t="s">
        <v>2165</v>
      </c>
      <c r="L515" s="285" t="s">
        <v>2165</v>
      </c>
    </row>
    <row r="516" spans="1:12" ht="30" x14ac:dyDescent="0.25">
      <c r="A516" s="375" t="s">
        <v>1127</v>
      </c>
      <c r="B516" s="376" t="s">
        <v>1127</v>
      </c>
      <c r="C516" s="370" t="s">
        <v>2165</v>
      </c>
      <c r="D516" s="370" t="s">
        <v>2165</v>
      </c>
      <c r="E516" s="371" t="s">
        <v>1687</v>
      </c>
      <c r="F516" s="376" t="s">
        <v>23</v>
      </c>
      <c r="G516" s="377"/>
      <c r="H516" s="372" t="s">
        <v>2165</v>
      </c>
      <c r="I516" s="373" t="s">
        <v>2165</v>
      </c>
      <c r="J516" s="374">
        <v>65.209999999999994</v>
      </c>
      <c r="K516" s="378">
        <v>7001381748</v>
      </c>
      <c r="L516" s="379">
        <v>0</v>
      </c>
    </row>
    <row r="517" spans="1:12" ht="30" x14ac:dyDescent="0.25">
      <c r="A517" s="375" t="s">
        <v>1128</v>
      </c>
      <c r="B517" s="376" t="s">
        <v>1128</v>
      </c>
      <c r="C517" s="370" t="s">
        <v>2165</v>
      </c>
      <c r="D517" s="370" t="s">
        <v>2165</v>
      </c>
      <c r="E517" s="371" t="s">
        <v>1688</v>
      </c>
      <c r="F517" s="376" t="s">
        <v>23</v>
      </c>
      <c r="G517" s="377"/>
      <c r="H517" s="372" t="s">
        <v>2165</v>
      </c>
      <c r="I517" s="373" t="s">
        <v>2165</v>
      </c>
      <c r="J517" s="374">
        <v>86.11</v>
      </c>
      <c r="K517" s="378">
        <v>7001381749</v>
      </c>
      <c r="L517" s="379">
        <v>0</v>
      </c>
    </row>
    <row r="518" spans="1:12" ht="30" x14ac:dyDescent="0.25">
      <c r="A518" s="375" t="s">
        <v>1129</v>
      </c>
      <c r="B518" s="376" t="s">
        <v>1129</v>
      </c>
      <c r="C518" s="370" t="s">
        <v>2165</v>
      </c>
      <c r="D518" s="370" t="s">
        <v>2165</v>
      </c>
      <c r="E518" s="371" t="s">
        <v>1689</v>
      </c>
      <c r="F518" s="376" t="s">
        <v>23</v>
      </c>
      <c r="G518" s="377"/>
      <c r="H518" s="372" t="s">
        <v>2165</v>
      </c>
      <c r="I518" s="373" t="s">
        <v>2165</v>
      </c>
      <c r="J518" s="374">
        <v>106.99000000000001</v>
      </c>
      <c r="K518" s="378">
        <v>7001381750</v>
      </c>
      <c r="L518" s="379">
        <v>0</v>
      </c>
    </row>
    <row r="519" spans="1:12" ht="30" x14ac:dyDescent="0.25">
      <c r="A519" s="375" t="s">
        <v>1130</v>
      </c>
      <c r="B519" s="376" t="s">
        <v>1130</v>
      </c>
      <c r="C519" s="370" t="s">
        <v>2165</v>
      </c>
      <c r="D519" s="370" t="s">
        <v>2165</v>
      </c>
      <c r="E519" s="371" t="s">
        <v>1690</v>
      </c>
      <c r="F519" s="376" t="s">
        <v>23</v>
      </c>
      <c r="G519" s="377"/>
      <c r="H519" s="372" t="s">
        <v>2165</v>
      </c>
      <c r="I519" s="373" t="s">
        <v>2165</v>
      </c>
      <c r="J519" s="374">
        <v>127.86</v>
      </c>
      <c r="K519" s="378">
        <v>7001381751</v>
      </c>
      <c r="L519" s="379">
        <v>0</v>
      </c>
    </row>
    <row r="520" spans="1:12" ht="30" x14ac:dyDescent="0.25">
      <c r="A520" s="375" t="s">
        <v>1131</v>
      </c>
      <c r="B520" s="376" t="s">
        <v>1131</v>
      </c>
      <c r="C520" s="370" t="s">
        <v>2165</v>
      </c>
      <c r="D520" s="370" t="s">
        <v>2165</v>
      </c>
      <c r="E520" s="371" t="s">
        <v>1691</v>
      </c>
      <c r="F520" s="376" t="s">
        <v>23</v>
      </c>
      <c r="G520" s="377"/>
      <c r="H520" s="372" t="s">
        <v>2165</v>
      </c>
      <c r="I520" s="373" t="s">
        <v>2165</v>
      </c>
      <c r="J520" s="374">
        <v>148.75</v>
      </c>
      <c r="K520" s="378">
        <v>7001381752</v>
      </c>
      <c r="L520" s="379">
        <v>0</v>
      </c>
    </row>
    <row r="521" spans="1:12" ht="30" x14ac:dyDescent="0.25">
      <c r="A521" s="375" t="s">
        <v>1132</v>
      </c>
      <c r="B521" s="376" t="s">
        <v>1132</v>
      </c>
      <c r="C521" s="370" t="s">
        <v>2165</v>
      </c>
      <c r="D521" s="370" t="s">
        <v>2165</v>
      </c>
      <c r="E521" s="371" t="s">
        <v>1692</v>
      </c>
      <c r="F521" s="376" t="s">
        <v>23</v>
      </c>
      <c r="G521" s="377"/>
      <c r="H521" s="372" t="s">
        <v>2165</v>
      </c>
      <c r="I521" s="373" t="s">
        <v>2165</v>
      </c>
      <c r="J521" s="374">
        <v>169.79</v>
      </c>
      <c r="K521" s="378">
        <v>7001381753</v>
      </c>
      <c r="L521" s="379">
        <v>0</v>
      </c>
    </row>
    <row r="522" spans="1:12" ht="30" x14ac:dyDescent="0.25">
      <c r="A522" s="375" t="s">
        <v>1133</v>
      </c>
      <c r="B522" s="376" t="s">
        <v>1133</v>
      </c>
      <c r="C522" s="370" t="s">
        <v>2165</v>
      </c>
      <c r="D522" s="370" t="s">
        <v>2165</v>
      </c>
      <c r="E522" s="371" t="s">
        <v>1693</v>
      </c>
      <c r="F522" s="376" t="s">
        <v>23</v>
      </c>
      <c r="G522" s="377"/>
      <c r="H522" s="372" t="s">
        <v>2165</v>
      </c>
      <c r="I522" s="373" t="s">
        <v>2165</v>
      </c>
      <c r="J522" s="374">
        <v>190.66</v>
      </c>
      <c r="K522" s="378">
        <v>7001381754</v>
      </c>
      <c r="L522" s="379">
        <v>0</v>
      </c>
    </row>
    <row r="523" spans="1:12" ht="30" x14ac:dyDescent="0.25">
      <c r="A523" s="375" t="s">
        <v>1134</v>
      </c>
      <c r="B523" s="376" t="s">
        <v>1134</v>
      </c>
      <c r="C523" s="370" t="s">
        <v>2165</v>
      </c>
      <c r="D523" s="370" t="s">
        <v>2165</v>
      </c>
      <c r="E523" s="371" t="s">
        <v>1694</v>
      </c>
      <c r="F523" s="376" t="s">
        <v>23</v>
      </c>
      <c r="G523" s="377"/>
      <c r="H523" s="372" t="s">
        <v>2165</v>
      </c>
      <c r="I523" s="373" t="s">
        <v>2165</v>
      </c>
      <c r="J523" s="374">
        <v>211.54000000000002</v>
      </c>
      <c r="K523" s="378">
        <v>7001381755</v>
      </c>
      <c r="L523" s="379">
        <v>0</v>
      </c>
    </row>
    <row r="524" spans="1:12" ht="30" x14ac:dyDescent="0.25">
      <c r="A524" s="375" t="s">
        <v>1135</v>
      </c>
      <c r="B524" s="376" t="s">
        <v>1135</v>
      </c>
      <c r="C524" s="370" t="s">
        <v>2165</v>
      </c>
      <c r="D524" s="370" t="s">
        <v>2165</v>
      </c>
      <c r="E524" s="371" t="s">
        <v>1695</v>
      </c>
      <c r="F524" s="376" t="s">
        <v>23</v>
      </c>
      <c r="G524" s="377"/>
      <c r="H524" s="372" t="s">
        <v>2165</v>
      </c>
      <c r="I524" s="373" t="s">
        <v>2165</v>
      </c>
      <c r="J524" s="374">
        <v>253.45999999999998</v>
      </c>
      <c r="K524" s="378">
        <v>7001381756</v>
      </c>
      <c r="L524" s="379">
        <v>0</v>
      </c>
    </row>
    <row r="525" spans="1:12" s="10" customFormat="1" x14ac:dyDescent="0.25">
      <c r="A525" s="34" t="s">
        <v>1258</v>
      </c>
      <c r="B525" s="174" t="s">
        <v>2165</v>
      </c>
      <c r="C525" s="383" t="s">
        <v>2165</v>
      </c>
      <c r="D525" s="383" t="s">
        <v>2165</v>
      </c>
      <c r="E525" s="384" t="s">
        <v>556</v>
      </c>
      <c r="F525" s="174"/>
      <c r="G525" s="175"/>
      <c r="H525" s="385" t="s">
        <v>2165</v>
      </c>
      <c r="I525" s="386" t="s">
        <v>2165</v>
      </c>
      <c r="J525" s="387" t="s">
        <v>2165</v>
      </c>
      <c r="K525" s="282" t="s">
        <v>2165</v>
      </c>
      <c r="L525" s="285" t="s">
        <v>2165</v>
      </c>
    </row>
    <row r="526" spans="1:12" ht="30" x14ac:dyDescent="0.25">
      <c r="A526" s="375" t="s">
        <v>830</v>
      </c>
      <c r="B526" s="376" t="s">
        <v>830</v>
      </c>
      <c r="C526" s="370" t="s">
        <v>2165</v>
      </c>
      <c r="D526" s="370" t="s">
        <v>2165</v>
      </c>
      <c r="E526" s="371" t="s">
        <v>1696</v>
      </c>
      <c r="F526" s="376" t="s">
        <v>23</v>
      </c>
      <c r="G526" s="377"/>
      <c r="H526" s="372" t="s">
        <v>2165</v>
      </c>
      <c r="I526" s="373" t="s">
        <v>2165</v>
      </c>
      <c r="J526" s="374">
        <v>8.48</v>
      </c>
      <c r="K526" s="378">
        <v>7001220609</v>
      </c>
      <c r="L526" s="379">
        <v>0</v>
      </c>
    </row>
    <row r="527" spans="1:12" ht="30" x14ac:dyDescent="0.25">
      <c r="A527" s="375" t="s">
        <v>831</v>
      </c>
      <c r="B527" s="376" t="s">
        <v>831</v>
      </c>
      <c r="C527" s="370" t="s">
        <v>2165</v>
      </c>
      <c r="D527" s="370" t="s">
        <v>2165</v>
      </c>
      <c r="E527" s="371" t="s">
        <v>1697</v>
      </c>
      <c r="F527" s="376" t="s">
        <v>23</v>
      </c>
      <c r="G527" s="377"/>
      <c r="H527" s="372" t="s">
        <v>2165</v>
      </c>
      <c r="I527" s="373" t="s">
        <v>2165</v>
      </c>
      <c r="J527" s="374">
        <v>21.45</v>
      </c>
      <c r="K527" s="378">
        <v>7001220610</v>
      </c>
      <c r="L527" s="379">
        <v>0</v>
      </c>
    </row>
    <row r="528" spans="1:12" s="10" customFormat="1" x14ac:dyDescent="0.25">
      <c r="A528" s="34">
        <v>68</v>
      </c>
      <c r="B528" s="174" t="s">
        <v>2165</v>
      </c>
      <c r="C528" s="383" t="s">
        <v>2165</v>
      </c>
      <c r="D528" s="383" t="s">
        <v>2165</v>
      </c>
      <c r="E528" s="384" t="s">
        <v>557</v>
      </c>
      <c r="F528" s="174"/>
      <c r="G528" s="175"/>
      <c r="H528" s="385" t="s">
        <v>2165</v>
      </c>
      <c r="I528" s="386" t="s">
        <v>2165</v>
      </c>
      <c r="J528" s="387" t="s">
        <v>2165</v>
      </c>
      <c r="K528" s="282" t="s">
        <v>2165</v>
      </c>
      <c r="L528" s="285" t="s">
        <v>2165</v>
      </c>
    </row>
    <row r="529" spans="1:12" ht="30" x14ac:dyDescent="0.25">
      <c r="A529" s="375" t="s">
        <v>1347</v>
      </c>
      <c r="B529" s="376" t="s">
        <v>1347</v>
      </c>
      <c r="C529" s="370" t="s">
        <v>2165</v>
      </c>
      <c r="D529" s="370" t="s">
        <v>2165</v>
      </c>
      <c r="E529" s="371" t="s">
        <v>1698</v>
      </c>
      <c r="F529" s="376" t="s">
        <v>23</v>
      </c>
      <c r="G529" s="377"/>
      <c r="H529" s="372" t="s">
        <v>2165</v>
      </c>
      <c r="I529" s="373" t="s">
        <v>2165</v>
      </c>
      <c r="J529" s="374">
        <v>10.11</v>
      </c>
      <c r="K529" s="378">
        <v>7001211043</v>
      </c>
      <c r="L529" s="379">
        <v>0</v>
      </c>
    </row>
    <row r="530" spans="1:12" s="10" customFormat="1" x14ac:dyDescent="0.25">
      <c r="A530" s="34">
        <v>69</v>
      </c>
      <c r="B530" s="174" t="s">
        <v>2165</v>
      </c>
      <c r="C530" s="383" t="s">
        <v>2165</v>
      </c>
      <c r="D530" s="383" t="s">
        <v>2165</v>
      </c>
      <c r="E530" s="384" t="s">
        <v>558</v>
      </c>
      <c r="F530" s="174"/>
      <c r="G530" s="175"/>
      <c r="H530" s="385" t="s">
        <v>2165</v>
      </c>
      <c r="I530" s="386" t="s">
        <v>2165</v>
      </c>
      <c r="J530" s="387" t="s">
        <v>2165</v>
      </c>
      <c r="K530" s="282" t="s">
        <v>2165</v>
      </c>
      <c r="L530" s="285" t="s">
        <v>2165</v>
      </c>
    </row>
    <row r="531" spans="1:12" x14ac:dyDescent="0.25">
      <c r="A531" s="375" t="s">
        <v>832</v>
      </c>
      <c r="B531" s="376" t="s">
        <v>832</v>
      </c>
      <c r="C531" s="370" t="s">
        <v>2165</v>
      </c>
      <c r="D531" s="370" t="s">
        <v>2165</v>
      </c>
      <c r="E531" s="371" t="s">
        <v>1699</v>
      </c>
      <c r="F531" s="376" t="s">
        <v>23</v>
      </c>
      <c r="G531" s="377"/>
      <c r="H531" s="372" t="s">
        <v>2165</v>
      </c>
      <c r="I531" s="373" t="s">
        <v>2165</v>
      </c>
      <c r="J531" s="374">
        <v>324.45</v>
      </c>
      <c r="K531" s="378">
        <v>7001230001</v>
      </c>
      <c r="L531" s="379">
        <v>0</v>
      </c>
    </row>
    <row r="532" spans="1:12" s="10" customFormat="1" x14ac:dyDescent="0.25">
      <c r="A532" s="34">
        <v>70</v>
      </c>
      <c r="B532" s="174" t="s">
        <v>2165</v>
      </c>
      <c r="C532" s="383" t="s">
        <v>2165</v>
      </c>
      <c r="D532" s="383" t="s">
        <v>2165</v>
      </c>
      <c r="E532" s="384" t="s">
        <v>1139</v>
      </c>
      <c r="F532" s="174"/>
      <c r="G532" s="175"/>
      <c r="H532" s="385" t="s">
        <v>2165</v>
      </c>
      <c r="I532" s="386" t="s">
        <v>2165</v>
      </c>
      <c r="J532" s="387" t="s">
        <v>2165</v>
      </c>
      <c r="K532" s="282" t="s">
        <v>2165</v>
      </c>
      <c r="L532" s="285" t="s">
        <v>2165</v>
      </c>
    </row>
    <row r="533" spans="1:12" ht="30" x14ac:dyDescent="0.25">
      <c r="A533" s="375" t="s">
        <v>833</v>
      </c>
      <c r="B533" s="376" t="s">
        <v>833</v>
      </c>
      <c r="C533" s="370" t="s">
        <v>2165</v>
      </c>
      <c r="D533" s="370" t="s">
        <v>2165</v>
      </c>
      <c r="E533" s="371" t="s">
        <v>1700</v>
      </c>
      <c r="F533" s="376" t="s">
        <v>31</v>
      </c>
      <c r="G533" s="377"/>
      <c r="H533" s="372" t="s">
        <v>2165</v>
      </c>
      <c r="I533" s="373" t="s">
        <v>2165</v>
      </c>
      <c r="J533" s="374">
        <v>1.9300000000000002</v>
      </c>
      <c r="K533" s="378">
        <v>7001210717</v>
      </c>
      <c r="L533" s="379">
        <v>0</v>
      </c>
    </row>
    <row r="534" spans="1:12" ht="30" x14ac:dyDescent="0.25">
      <c r="A534" s="375" t="s">
        <v>834</v>
      </c>
      <c r="B534" s="376" t="s">
        <v>834</v>
      </c>
      <c r="C534" s="370" t="s">
        <v>2165</v>
      </c>
      <c r="D534" s="370" t="s">
        <v>2165</v>
      </c>
      <c r="E534" s="371" t="s">
        <v>1701</v>
      </c>
      <c r="F534" s="376" t="s">
        <v>31</v>
      </c>
      <c r="G534" s="377"/>
      <c r="H534" s="372" t="s">
        <v>2165</v>
      </c>
      <c r="I534" s="373" t="s">
        <v>2165</v>
      </c>
      <c r="J534" s="374">
        <v>1.4500000000000002</v>
      </c>
      <c r="K534" s="378">
        <v>7001210718</v>
      </c>
      <c r="L534" s="379">
        <v>0.12090504216411825</v>
      </c>
    </row>
    <row r="535" spans="1:12" ht="30" x14ac:dyDescent="0.25">
      <c r="A535" s="375" t="s">
        <v>835</v>
      </c>
      <c r="B535" s="376" t="s">
        <v>835</v>
      </c>
      <c r="C535" s="370" t="s">
        <v>2165</v>
      </c>
      <c r="D535" s="370" t="s">
        <v>2165</v>
      </c>
      <c r="E535" s="371" t="s">
        <v>1702</v>
      </c>
      <c r="F535" s="376" t="s">
        <v>31</v>
      </c>
      <c r="G535" s="377"/>
      <c r="H535" s="372" t="s">
        <v>2165</v>
      </c>
      <c r="I535" s="373" t="s">
        <v>2165</v>
      </c>
      <c r="J535" s="374">
        <v>1</v>
      </c>
      <c r="K535" s="378">
        <v>7001210720</v>
      </c>
      <c r="L535" s="379">
        <v>6.2611539692132664E-2</v>
      </c>
    </row>
    <row r="536" spans="1:12" s="10" customFormat="1" x14ac:dyDescent="0.25">
      <c r="A536" s="34">
        <v>71</v>
      </c>
      <c r="B536" s="174" t="s">
        <v>2165</v>
      </c>
      <c r="C536" s="383" t="s">
        <v>2165</v>
      </c>
      <c r="D536" s="383" t="s">
        <v>2165</v>
      </c>
      <c r="E536" s="384" t="s">
        <v>559</v>
      </c>
      <c r="F536" s="174"/>
      <c r="G536" s="175"/>
      <c r="H536" s="385" t="s">
        <v>2165</v>
      </c>
      <c r="I536" s="386" t="s">
        <v>2165</v>
      </c>
      <c r="J536" s="387" t="s">
        <v>2165</v>
      </c>
      <c r="K536" s="282" t="s">
        <v>2165</v>
      </c>
      <c r="L536" s="285" t="s">
        <v>2165</v>
      </c>
    </row>
    <row r="537" spans="1:12" x14ac:dyDescent="0.25">
      <c r="A537" s="375" t="s">
        <v>836</v>
      </c>
      <c r="B537" s="376" t="s">
        <v>836</v>
      </c>
      <c r="C537" s="370" t="s">
        <v>2165</v>
      </c>
      <c r="D537" s="370" t="s">
        <v>2165</v>
      </c>
      <c r="E537" s="371" t="s">
        <v>1703</v>
      </c>
      <c r="F537" s="376" t="s">
        <v>23</v>
      </c>
      <c r="G537" s="377"/>
      <c r="H537" s="372" t="s">
        <v>2165</v>
      </c>
      <c r="I537" s="373" t="s">
        <v>2165</v>
      </c>
      <c r="J537" s="374">
        <v>112.38000000000001</v>
      </c>
      <c r="K537" s="378">
        <v>7001240008</v>
      </c>
      <c r="L537" s="379">
        <v>0</v>
      </c>
    </row>
    <row r="538" spans="1:12" x14ac:dyDescent="0.25">
      <c r="A538" s="375" t="s">
        <v>837</v>
      </c>
      <c r="B538" s="376" t="s">
        <v>837</v>
      </c>
      <c r="C538" s="370" t="s">
        <v>2165</v>
      </c>
      <c r="D538" s="370" t="s">
        <v>2165</v>
      </c>
      <c r="E538" s="371" t="s">
        <v>1704</v>
      </c>
      <c r="F538" s="376" t="s">
        <v>23</v>
      </c>
      <c r="G538" s="377"/>
      <c r="H538" s="372" t="s">
        <v>2165</v>
      </c>
      <c r="I538" s="373" t="s">
        <v>2165</v>
      </c>
      <c r="J538" s="374">
        <v>132.82</v>
      </c>
      <c r="K538" s="378">
        <v>7001240009</v>
      </c>
      <c r="L538" s="379">
        <v>0</v>
      </c>
    </row>
    <row r="539" spans="1:12" x14ac:dyDescent="0.25">
      <c r="A539" s="375" t="s">
        <v>838</v>
      </c>
      <c r="B539" s="376" t="s">
        <v>838</v>
      </c>
      <c r="C539" s="370" t="s">
        <v>2165</v>
      </c>
      <c r="D539" s="370" t="s">
        <v>2165</v>
      </c>
      <c r="E539" s="371" t="s">
        <v>1705</v>
      </c>
      <c r="F539" s="376" t="s">
        <v>23</v>
      </c>
      <c r="G539" s="377"/>
      <c r="H539" s="372" t="s">
        <v>2165</v>
      </c>
      <c r="I539" s="373" t="s">
        <v>2165</v>
      </c>
      <c r="J539" s="374">
        <v>148.93</v>
      </c>
      <c r="K539" s="378">
        <v>7001240010</v>
      </c>
      <c r="L539" s="379">
        <v>0</v>
      </c>
    </row>
    <row r="540" spans="1:12" x14ac:dyDescent="0.25">
      <c r="A540" s="375" t="s">
        <v>839</v>
      </c>
      <c r="B540" s="376" t="s">
        <v>839</v>
      </c>
      <c r="C540" s="370" t="s">
        <v>2165</v>
      </c>
      <c r="D540" s="370" t="s">
        <v>2165</v>
      </c>
      <c r="E540" s="371" t="s">
        <v>1706</v>
      </c>
      <c r="F540" s="376" t="s">
        <v>23</v>
      </c>
      <c r="G540" s="377"/>
      <c r="H540" s="372" t="s">
        <v>2165</v>
      </c>
      <c r="I540" s="373" t="s">
        <v>2165</v>
      </c>
      <c r="J540" s="374">
        <v>155.84</v>
      </c>
      <c r="K540" s="378">
        <v>7001240011</v>
      </c>
      <c r="L540" s="379">
        <v>0</v>
      </c>
    </row>
    <row r="541" spans="1:12" x14ac:dyDescent="0.25">
      <c r="A541" s="375" t="s">
        <v>840</v>
      </c>
      <c r="B541" s="376" t="s">
        <v>840</v>
      </c>
      <c r="C541" s="370" t="s">
        <v>2165</v>
      </c>
      <c r="D541" s="370" t="s">
        <v>2165</v>
      </c>
      <c r="E541" s="371" t="s">
        <v>1707</v>
      </c>
      <c r="F541" s="376" t="s">
        <v>23</v>
      </c>
      <c r="G541" s="377"/>
      <c r="H541" s="372" t="s">
        <v>2165</v>
      </c>
      <c r="I541" s="373" t="s">
        <v>2165</v>
      </c>
      <c r="J541" s="374">
        <v>198.17999999999998</v>
      </c>
      <c r="K541" s="378">
        <v>7001240012</v>
      </c>
      <c r="L541" s="379">
        <v>0</v>
      </c>
    </row>
    <row r="542" spans="1:12" s="10" customFormat="1" x14ac:dyDescent="0.25">
      <c r="A542" s="34">
        <v>72</v>
      </c>
      <c r="B542" s="174" t="s">
        <v>2165</v>
      </c>
      <c r="C542" s="383" t="s">
        <v>2165</v>
      </c>
      <c r="D542" s="383" t="s">
        <v>2165</v>
      </c>
      <c r="E542" s="384" t="s">
        <v>560</v>
      </c>
      <c r="F542" s="174"/>
      <c r="G542" s="175"/>
      <c r="H542" s="385" t="s">
        <v>2165</v>
      </c>
      <c r="I542" s="386" t="s">
        <v>2165</v>
      </c>
      <c r="J542" s="387" t="s">
        <v>2165</v>
      </c>
      <c r="K542" s="282" t="s">
        <v>2165</v>
      </c>
      <c r="L542" s="285" t="s">
        <v>2165</v>
      </c>
    </row>
    <row r="543" spans="1:12" x14ac:dyDescent="0.25">
      <c r="A543" s="375" t="s">
        <v>841</v>
      </c>
      <c r="B543" s="376" t="s">
        <v>841</v>
      </c>
      <c r="C543" s="370" t="s">
        <v>2165</v>
      </c>
      <c r="D543" s="370" t="s">
        <v>2165</v>
      </c>
      <c r="E543" s="371" t="s">
        <v>1708</v>
      </c>
      <c r="F543" s="376" t="s">
        <v>23</v>
      </c>
      <c r="G543" s="377"/>
      <c r="H543" s="372" t="s">
        <v>2165</v>
      </c>
      <c r="I543" s="373" t="s">
        <v>2165</v>
      </c>
      <c r="J543" s="374">
        <v>157.02000000000001</v>
      </c>
      <c r="K543" s="378">
        <v>7001240013</v>
      </c>
      <c r="L543" s="379">
        <v>0</v>
      </c>
    </row>
    <row r="544" spans="1:12" s="10" customFormat="1" x14ac:dyDescent="0.25">
      <c r="A544" s="34">
        <v>73</v>
      </c>
      <c r="B544" s="174" t="s">
        <v>2165</v>
      </c>
      <c r="C544" s="383" t="s">
        <v>2165</v>
      </c>
      <c r="D544" s="383" t="s">
        <v>2165</v>
      </c>
      <c r="E544" s="384" t="s">
        <v>561</v>
      </c>
      <c r="F544" s="174"/>
      <c r="G544" s="175"/>
      <c r="H544" s="385" t="s">
        <v>2165</v>
      </c>
      <c r="I544" s="386" t="s">
        <v>2165</v>
      </c>
      <c r="J544" s="387" t="s">
        <v>2165</v>
      </c>
      <c r="K544" s="282" t="s">
        <v>2165</v>
      </c>
      <c r="L544" s="285" t="s">
        <v>2165</v>
      </c>
    </row>
    <row r="545" spans="1:12" s="10" customFormat="1" ht="30" x14ac:dyDescent="0.25">
      <c r="A545" s="34" t="s">
        <v>1099</v>
      </c>
      <c r="B545" s="174" t="s">
        <v>2165</v>
      </c>
      <c r="C545" s="383" t="s">
        <v>2165</v>
      </c>
      <c r="D545" s="383" t="s">
        <v>2165</v>
      </c>
      <c r="E545" s="384" t="s">
        <v>1241</v>
      </c>
      <c r="F545" s="174"/>
      <c r="G545" s="175"/>
      <c r="H545" s="385" t="s">
        <v>2165</v>
      </c>
      <c r="I545" s="386" t="s">
        <v>2165</v>
      </c>
      <c r="J545" s="387" t="s">
        <v>2165</v>
      </c>
      <c r="K545" s="282" t="s">
        <v>2165</v>
      </c>
      <c r="L545" s="285" t="s">
        <v>2165</v>
      </c>
    </row>
    <row r="546" spans="1:12" ht="45" x14ac:dyDescent="0.25">
      <c r="A546" s="375" t="s">
        <v>1140</v>
      </c>
      <c r="B546" s="376" t="s">
        <v>1140</v>
      </c>
      <c r="C546" s="370" t="s">
        <v>2165</v>
      </c>
      <c r="D546" s="370" t="s">
        <v>2165</v>
      </c>
      <c r="E546" s="371" t="s">
        <v>1709</v>
      </c>
      <c r="F546" s="376" t="s">
        <v>23</v>
      </c>
      <c r="G546" s="377"/>
      <c r="H546" s="372" t="s">
        <v>2165</v>
      </c>
      <c r="I546" s="373" t="s">
        <v>2165</v>
      </c>
      <c r="J546" s="374">
        <v>3953.4</v>
      </c>
      <c r="K546" s="378">
        <v>7001250793</v>
      </c>
      <c r="L546" s="379">
        <v>4.7481695947841363E-4</v>
      </c>
    </row>
    <row r="547" spans="1:12" ht="45" x14ac:dyDescent="0.25">
      <c r="A547" s="375" t="s">
        <v>1149</v>
      </c>
      <c r="B547" s="376" t="s">
        <v>1149</v>
      </c>
      <c r="C547" s="370" t="s">
        <v>2165</v>
      </c>
      <c r="D547" s="370" t="s">
        <v>2165</v>
      </c>
      <c r="E547" s="371" t="s">
        <v>1711</v>
      </c>
      <c r="F547" s="376" t="s">
        <v>23</v>
      </c>
      <c r="G547" s="377"/>
      <c r="H547" s="372" t="s">
        <v>2165</v>
      </c>
      <c r="I547" s="373" t="s">
        <v>2165</v>
      </c>
      <c r="J547" s="374">
        <v>4726.7</v>
      </c>
      <c r="K547" s="378">
        <v>7001250794</v>
      </c>
      <c r="L547" s="379">
        <v>4.7914726098090559E-4</v>
      </c>
    </row>
    <row r="548" spans="1:12" ht="45" x14ac:dyDescent="0.25">
      <c r="A548" s="375" t="s">
        <v>1150</v>
      </c>
      <c r="B548" s="376" t="s">
        <v>1150</v>
      </c>
      <c r="C548" s="370" t="s">
        <v>2165</v>
      </c>
      <c r="D548" s="370" t="s">
        <v>2165</v>
      </c>
      <c r="E548" s="371" t="s">
        <v>1712</v>
      </c>
      <c r="F548" s="376" t="s">
        <v>23</v>
      </c>
      <c r="G548" s="377"/>
      <c r="H548" s="372" t="s">
        <v>2165</v>
      </c>
      <c r="I548" s="373" t="s">
        <v>2165</v>
      </c>
      <c r="J548" s="374">
        <v>5171.88</v>
      </c>
      <c r="K548" s="378">
        <v>7001250795</v>
      </c>
      <c r="L548" s="379">
        <v>4.7243777375713305E-4</v>
      </c>
    </row>
    <row r="549" spans="1:12" ht="45" x14ac:dyDescent="0.25">
      <c r="A549" s="375" t="s">
        <v>1151</v>
      </c>
      <c r="B549" s="376" t="s">
        <v>1151</v>
      </c>
      <c r="C549" s="370" t="s">
        <v>2165</v>
      </c>
      <c r="D549" s="370" t="s">
        <v>2165</v>
      </c>
      <c r="E549" s="371" t="s">
        <v>1713</v>
      </c>
      <c r="F549" s="376" t="s">
        <v>23</v>
      </c>
      <c r="G549" s="377"/>
      <c r="H549" s="372" t="s">
        <v>2165</v>
      </c>
      <c r="I549" s="373" t="s">
        <v>2165</v>
      </c>
      <c r="J549" s="374">
        <v>6236.68</v>
      </c>
      <c r="K549" s="378">
        <v>7001250796</v>
      </c>
      <c r="L549" s="379">
        <v>4.6306534529135635E-4</v>
      </c>
    </row>
    <row r="550" spans="1:12" ht="45" x14ac:dyDescent="0.25">
      <c r="A550" s="375" t="s">
        <v>1152</v>
      </c>
      <c r="B550" s="376" t="s">
        <v>1152</v>
      </c>
      <c r="C550" s="370" t="s">
        <v>2165</v>
      </c>
      <c r="D550" s="370" t="s">
        <v>2165</v>
      </c>
      <c r="E550" s="371" t="s">
        <v>1714</v>
      </c>
      <c r="F550" s="376" t="s">
        <v>23</v>
      </c>
      <c r="G550" s="377"/>
      <c r="H550" s="372" t="s">
        <v>2165</v>
      </c>
      <c r="I550" s="373" t="s">
        <v>2165</v>
      </c>
      <c r="J550" s="374">
        <v>7487.0399999999991</v>
      </c>
      <c r="K550" s="378">
        <v>7001250797</v>
      </c>
      <c r="L550" s="379">
        <v>4.4510791947016616E-4</v>
      </c>
    </row>
    <row r="551" spans="1:12" ht="45" x14ac:dyDescent="0.25">
      <c r="A551" s="375" t="s">
        <v>1153</v>
      </c>
      <c r="B551" s="376" t="s">
        <v>1153</v>
      </c>
      <c r="C551" s="370" t="s">
        <v>2165</v>
      </c>
      <c r="D551" s="370" t="s">
        <v>2165</v>
      </c>
      <c r="E551" s="371" t="s">
        <v>1715</v>
      </c>
      <c r="F551" s="376" t="s">
        <v>23</v>
      </c>
      <c r="G551" s="377"/>
      <c r="H551" s="372" t="s">
        <v>2165</v>
      </c>
      <c r="I551" s="373" t="s">
        <v>2165</v>
      </c>
      <c r="J551" s="374">
        <v>8438.27</v>
      </c>
      <c r="K551" s="378">
        <v>7001250798</v>
      </c>
      <c r="L551" s="379">
        <v>4.318579990238869E-4</v>
      </c>
    </row>
    <row r="552" spans="1:12" s="10" customFormat="1" x14ac:dyDescent="0.25">
      <c r="A552" s="34" t="s">
        <v>1100</v>
      </c>
      <c r="B552" s="174" t="s">
        <v>2165</v>
      </c>
      <c r="C552" s="383" t="s">
        <v>2165</v>
      </c>
      <c r="D552" s="383" t="s">
        <v>2165</v>
      </c>
      <c r="E552" s="384" t="s">
        <v>1205</v>
      </c>
      <c r="F552" s="174"/>
      <c r="G552" s="175"/>
      <c r="H552" s="385" t="s">
        <v>2165</v>
      </c>
      <c r="I552" s="386" t="s">
        <v>2165</v>
      </c>
      <c r="J552" s="387" t="s">
        <v>2165</v>
      </c>
      <c r="K552" s="282" t="s">
        <v>2165</v>
      </c>
      <c r="L552" s="285" t="s">
        <v>2165</v>
      </c>
    </row>
    <row r="553" spans="1:12" ht="45" x14ac:dyDescent="0.25">
      <c r="A553" s="375" t="s">
        <v>1154</v>
      </c>
      <c r="B553" s="376" t="s">
        <v>1154</v>
      </c>
      <c r="C553" s="370" t="s">
        <v>2165</v>
      </c>
      <c r="D553" s="370" t="s">
        <v>2165</v>
      </c>
      <c r="E553" s="371" t="s">
        <v>1716</v>
      </c>
      <c r="F553" s="376" t="s">
        <v>23</v>
      </c>
      <c r="G553" s="377"/>
      <c r="H553" s="372" t="s">
        <v>2165</v>
      </c>
      <c r="I553" s="373" t="s">
        <v>2165</v>
      </c>
      <c r="J553" s="374">
        <v>5343.6899999999987</v>
      </c>
      <c r="K553" s="378">
        <v>7001250799</v>
      </c>
      <c r="L553" s="379">
        <v>7.5307308363610698E-4</v>
      </c>
    </row>
    <row r="554" spans="1:12" ht="45" x14ac:dyDescent="0.25">
      <c r="A554" s="375" t="s">
        <v>1155</v>
      </c>
      <c r="B554" s="376" t="s">
        <v>1155</v>
      </c>
      <c r="C554" s="370" t="s">
        <v>2165</v>
      </c>
      <c r="D554" s="370" t="s">
        <v>2165</v>
      </c>
      <c r="E554" s="371" t="s">
        <v>1717</v>
      </c>
      <c r="F554" s="376" t="s">
        <v>23</v>
      </c>
      <c r="G554" s="377"/>
      <c r="H554" s="372" t="s">
        <v>2165</v>
      </c>
      <c r="I554" s="373" t="s">
        <v>2165</v>
      </c>
      <c r="J554" s="374">
        <v>6599.05</v>
      </c>
      <c r="K554" s="378">
        <v>7001250800</v>
      </c>
      <c r="L554" s="379">
        <v>7.6068102192440742E-4</v>
      </c>
    </row>
    <row r="555" spans="1:12" ht="45" x14ac:dyDescent="0.25">
      <c r="A555" s="375" t="s">
        <v>1156</v>
      </c>
      <c r="B555" s="376" t="s">
        <v>1156</v>
      </c>
      <c r="C555" s="370" t="s">
        <v>2165</v>
      </c>
      <c r="D555" s="370" t="s">
        <v>2165</v>
      </c>
      <c r="E555" s="371" t="s">
        <v>1718</v>
      </c>
      <c r="F555" s="376" t="s">
        <v>23</v>
      </c>
      <c r="G555" s="377"/>
      <c r="H555" s="372" t="s">
        <v>2165</v>
      </c>
      <c r="I555" s="373" t="s">
        <v>2165</v>
      </c>
      <c r="J555" s="374">
        <v>7310.2699999999995</v>
      </c>
      <c r="K555" s="378">
        <v>7001250801</v>
      </c>
      <c r="L555" s="379">
        <v>7.6308603537799161E-4</v>
      </c>
    </row>
    <row r="556" spans="1:12" ht="45" x14ac:dyDescent="0.25">
      <c r="A556" s="375" t="s">
        <v>1157</v>
      </c>
      <c r="B556" s="376" t="s">
        <v>1157</v>
      </c>
      <c r="C556" s="370" t="s">
        <v>2165</v>
      </c>
      <c r="D556" s="370" t="s">
        <v>2165</v>
      </c>
      <c r="E556" s="371" t="s">
        <v>1719</v>
      </c>
      <c r="F556" s="376" t="s">
        <v>23</v>
      </c>
      <c r="G556" s="377"/>
      <c r="H556" s="372" t="s">
        <v>2165</v>
      </c>
      <c r="I556" s="373" t="s">
        <v>2165</v>
      </c>
      <c r="J556" s="374">
        <v>8777.8099999999977</v>
      </c>
      <c r="K556" s="378">
        <v>7001250802</v>
      </c>
      <c r="L556" s="379">
        <v>7.749047323107887E-4</v>
      </c>
    </row>
    <row r="557" spans="1:12" ht="45" x14ac:dyDescent="0.25">
      <c r="A557" s="375" t="s">
        <v>1158</v>
      </c>
      <c r="B557" s="376" t="s">
        <v>1158</v>
      </c>
      <c r="C557" s="370" t="s">
        <v>2165</v>
      </c>
      <c r="D557" s="370" t="s">
        <v>2165</v>
      </c>
      <c r="E557" s="371" t="s">
        <v>1720</v>
      </c>
      <c r="F557" s="376" t="s">
        <v>23</v>
      </c>
      <c r="G557" s="377"/>
      <c r="H557" s="372" t="s">
        <v>2165</v>
      </c>
      <c r="I557" s="373" t="s">
        <v>2165</v>
      </c>
      <c r="J557" s="374">
        <v>11149.48</v>
      </c>
      <c r="K557" s="378">
        <v>7001250803</v>
      </c>
      <c r="L557" s="379">
        <v>7.8116425836318771E-4</v>
      </c>
    </row>
    <row r="558" spans="1:12" ht="45" x14ac:dyDescent="0.25">
      <c r="A558" s="375" t="s">
        <v>1159</v>
      </c>
      <c r="B558" s="376" t="s">
        <v>1159</v>
      </c>
      <c r="C558" s="370" t="s">
        <v>2165</v>
      </c>
      <c r="D558" s="370" t="s">
        <v>2165</v>
      </c>
      <c r="E558" s="371" t="s">
        <v>1721</v>
      </c>
      <c r="F558" s="376" t="s">
        <v>23</v>
      </c>
      <c r="G558" s="377"/>
      <c r="H558" s="372" t="s">
        <v>2165</v>
      </c>
      <c r="I558" s="373" t="s">
        <v>2165</v>
      </c>
      <c r="J558" s="374">
        <v>12753.32</v>
      </c>
      <c r="K558" s="378">
        <v>7001250804</v>
      </c>
      <c r="L558" s="379">
        <v>7.848278659141044E-4</v>
      </c>
    </row>
    <row r="559" spans="1:12" s="10" customFormat="1" x14ac:dyDescent="0.25">
      <c r="A559" s="34" t="s">
        <v>1101</v>
      </c>
      <c r="B559" s="174" t="s">
        <v>2165</v>
      </c>
      <c r="C559" s="383" t="s">
        <v>2165</v>
      </c>
      <c r="D559" s="383" t="s">
        <v>2165</v>
      </c>
      <c r="E559" s="384" t="s">
        <v>562</v>
      </c>
      <c r="F559" s="174"/>
      <c r="G559" s="175"/>
      <c r="H559" s="385" t="s">
        <v>2165</v>
      </c>
      <c r="I559" s="386" t="s">
        <v>2165</v>
      </c>
      <c r="J559" s="387" t="s">
        <v>2165</v>
      </c>
      <c r="K559" s="282" t="s">
        <v>2165</v>
      </c>
      <c r="L559" s="285" t="s">
        <v>2165</v>
      </c>
    </row>
    <row r="560" spans="1:12" ht="45" x14ac:dyDescent="0.25">
      <c r="A560" s="375" t="s">
        <v>842</v>
      </c>
      <c r="B560" s="376" t="s">
        <v>842</v>
      </c>
      <c r="C560" s="370" t="s">
        <v>2165</v>
      </c>
      <c r="D560" s="370" t="s">
        <v>2165</v>
      </c>
      <c r="E560" s="371" t="s">
        <v>1722</v>
      </c>
      <c r="F560" s="376" t="s">
        <v>23</v>
      </c>
      <c r="G560" s="377"/>
      <c r="H560" s="372" t="s">
        <v>2165</v>
      </c>
      <c r="I560" s="373" t="s">
        <v>2165</v>
      </c>
      <c r="J560" s="374">
        <v>776.9899999999999</v>
      </c>
      <c r="K560" s="378">
        <v>7001250011</v>
      </c>
      <c r="L560" s="379">
        <v>8.1140601868434414E-2</v>
      </c>
    </row>
    <row r="561" spans="1:12" ht="45" x14ac:dyDescent="0.25">
      <c r="A561" s="375" t="s">
        <v>843</v>
      </c>
      <c r="B561" s="376" t="s">
        <v>843</v>
      </c>
      <c r="C561" s="370" t="s">
        <v>2165</v>
      </c>
      <c r="D561" s="370" t="s">
        <v>2165</v>
      </c>
      <c r="E561" s="371" t="s">
        <v>1723</v>
      </c>
      <c r="F561" s="376" t="s">
        <v>23</v>
      </c>
      <c r="G561" s="377"/>
      <c r="H561" s="372" t="s">
        <v>2165</v>
      </c>
      <c r="I561" s="373" t="s">
        <v>2165</v>
      </c>
      <c r="J561" s="374">
        <v>927.93999999999994</v>
      </c>
      <c r="K561" s="378">
        <v>7001250012</v>
      </c>
      <c r="L561" s="379">
        <v>7.0509016706634065E-2</v>
      </c>
    </row>
    <row r="562" spans="1:12" s="10" customFormat="1" x14ac:dyDescent="0.25">
      <c r="A562" s="34" t="s">
        <v>1102</v>
      </c>
      <c r="B562" s="174" t="s">
        <v>2165</v>
      </c>
      <c r="C562" s="383" t="s">
        <v>2165</v>
      </c>
      <c r="D562" s="383" t="s">
        <v>2165</v>
      </c>
      <c r="E562" s="384" t="s">
        <v>563</v>
      </c>
      <c r="F562" s="174"/>
      <c r="G562" s="175"/>
      <c r="H562" s="385" t="s">
        <v>2165</v>
      </c>
      <c r="I562" s="386" t="s">
        <v>2165</v>
      </c>
      <c r="J562" s="387" t="s">
        <v>2165</v>
      </c>
      <c r="K562" s="282" t="s">
        <v>2165</v>
      </c>
      <c r="L562" s="285" t="s">
        <v>2165</v>
      </c>
    </row>
    <row r="563" spans="1:12" s="141" customFormat="1" ht="60" x14ac:dyDescent="0.25">
      <c r="A563" s="380" t="s">
        <v>1271</v>
      </c>
      <c r="B563" s="380" t="s">
        <v>1271</v>
      </c>
      <c r="C563" s="370" t="s">
        <v>2165</v>
      </c>
      <c r="D563" s="370" t="s">
        <v>2165</v>
      </c>
      <c r="E563" s="371" t="s">
        <v>1724</v>
      </c>
      <c r="F563" s="376" t="s">
        <v>23</v>
      </c>
      <c r="G563" s="377"/>
      <c r="H563" s="372" t="s">
        <v>2165</v>
      </c>
      <c r="I563" s="373" t="s">
        <v>2165</v>
      </c>
      <c r="J563" s="374">
        <v>850.23</v>
      </c>
      <c r="K563" s="378">
        <v>7001250873</v>
      </c>
      <c r="L563" s="379">
        <v>6.0335678998751962E-4</v>
      </c>
    </row>
    <row r="564" spans="1:12" s="141" customFormat="1" ht="60" x14ac:dyDescent="0.25">
      <c r="A564" s="380" t="s">
        <v>1272</v>
      </c>
      <c r="B564" s="380" t="s">
        <v>1272</v>
      </c>
      <c r="C564" s="370" t="s">
        <v>2165</v>
      </c>
      <c r="D564" s="370" t="s">
        <v>2165</v>
      </c>
      <c r="E564" s="371" t="s">
        <v>1725</v>
      </c>
      <c r="F564" s="376" t="s">
        <v>23</v>
      </c>
      <c r="G564" s="377"/>
      <c r="H564" s="372" t="s">
        <v>2165</v>
      </c>
      <c r="I564" s="373" t="s">
        <v>2165</v>
      </c>
      <c r="J564" s="374">
        <v>1214.6300000000001</v>
      </c>
      <c r="K564" s="378">
        <v>7001250874</v>
      </c>
      <c r="L564" s="379">
        <v>5.7873777307207344E-4</v>
      </c>
    </row>
    <row r="565" spans="1:12" s="10" customFormat="1" x14ac:dyDescent="0.25">
      <c r="A565" s="34" t="s">
        <v>1103</v>
      </c>
      <c r="B565" s="176" t="s">
        <v>2165</v>
      </c>
      <c r="C565" s="383" t="s">
        <v>2165</v>
      </c>
      <c r="D565" s="383" t="s">
        <v>2165</v>
      </c>
      <c r="E565" s="384" t="s">
        <v>1242</v>
      </c>
      <c r="F565" s="174"/>
      <c r="G565" s="175"/>
      <c r="H565" s="385" t="s">
        <v>2165</v>
      </c>
      <c r="I565" s="386" t="s">
        <v>2165</v>
      </c>
      <c r="J565" s="387" t="s">
        <v>2165</v>
      </c>
      <c r="K565" s="282" t="s">
        <v>2165</v>
      </c>
      <c r="L565" s="285" t="s">
        <v>2165</v>
      </c>
    </row>
    <row r="566" spans="1:12" ht="45" x14ac:dyDescent="0.25">
      <c r="A566" s="381" t="s">
        <v>1160</v>
      </c>
      <c r="B566" s="382" t="s">
        <v>1160</v>
      </c>
      <c r="C566" s="370" t="s">
        <v>2165</v>
      </c>
      <c r="D566" s="370" t="s">
        <v>2165</v>
      </c>
      <c r="E566" s="371" t="s">
        <v>1726</v>
      </c>
      <c r="F566" s="376" t="s">
        <v>23</v>
      </c>
      <c r="G566" s="377"/>
      <c r="H566" s="372" t="s">
        <v>2165</v>
      </c>
      <c r="I566" s="373" t="s">
        <v>2165</v>
      </c>
      <c r="J566" s="374">
        <v>3992.31</v>
      </c>
      <c r="K566" s="378">
        <v>7001250805</v>
      </c>
      <c r="L566" s="379">
        <v>4.7018928079281433E-4</v>
      </c>
    </row>
    <row r="567" spans="1:12" ht="60" x14ac:dyDescent="0.25">
      <c r="A567" s="375" t="s">
        <v>1161</v>
      </c>
      <c r="B567" s="376" t="s">
        <v>1161</v>
      </c>
      <c r="C567" s="370" t="s">
        <v>2165</v>
      </c>
      <c r="D567" s="370" t="s">
        <v>2165</v>
      </c>
      <c r="E567" s="371" t="s">
        <v>1727</v>
      </c>
      <c r="F567" s="376" t="s">
        <v>23</v>
      </c>
      <c r="G567" s="377"/>
      <c r="H567" s="372" t="s">
        <v>2165</v>
      </c>
      <c r="I567" s="373" t="s">
        <v>2165</v>
      </c>
      <c r="J567" s="374">
        <v>4770.3500000000004</v>
      </c>
      <c r="K567" s="378">
        <v>7001250806</v>
      </c>
      <c r="L567" s="379">
        <v>4.7476293321841085E-4</v>
      </c>
    </row>
    <row r="568" spans="1:12" ht="60" x14ac:dyDescent="0.25">
      <c r="A568" s="375" t="s">
        <v>1162</v>
      </c>
      <c r="B568" s="376" t="s">
        <v>1162</v>
      </c>
      <c r="C568" s="370" t="s">
        <v>2165</v>
      </c>
      <c r="D568" s="370" t="s">
        <v>2165</v>
      </c>
      <c r="E568" s="371" t="s">
        <v>1728</v>
      </c>
      <c r="F568" s="376" t="s">
        <v>23</v>
      </c>
      <c r="G568" s="377"/>
      <c r="H568" s="372" t="s">
        <v>2165</v>
      </c>
      <c r="I568" s="373" t="s">
        <v>2165</v>
      </c>
      <c r="J568" s="374">
        <v>5198.2299999999996</v>
      </c>
      <c r="K568" s="378">
        <v>7001250807</v>
      </c>
      <c r="L568" s="379">
        <v>4.7004297103803443E-4</v>
      </c>
    </row>
    <row r="569" spans="1:12" ht="60" x14ac:dyDescent="0.25">
      <c r="A569" s="375" t="s">
        <v>1163</v>
      </c>
      <c r="B569" s="376" t="s">
        <v>1163</v>
      </c>
      <c r="C569" s="370" t="s">
        <v>2165</v>
      </c>
      <c r="D569" s="370" t="s">
        <v>2165</v>
      </c>
      <c r="E569" s="371" t="s">
        <v>1729</v>
      </c>
      <c r="F569" s="376" t="s">
        <v>23</v>
      </c>
      <c r="G569" s="377"/>
      <c r="H569" s="372" t="s">
        <v>2165</v>
      </c>
      <c r="I569" s="373" t="s">
        <v>2165</v>
      </c>
      <c r="J569" s="374">
        <v>6435.78</v>
      </c>
      <c r="K569" s="378">
        <v>7001250808</v>
      </c>
      <c r="L569" s="379">
        <v>4.7235277648957109E-4</v>
      </c>
    </row>
    <row r="570" spans="1:12" ht="60" x14ac:dyDescent="0.25">
      <c r="A570" s="375" t="s">
        <v>1164</v>
      </c>
      <c r="B570" s="376" t="s">
        <v>1164</v>
      </c>
      <c r="C570" s="370" t="s">
        <v>2165</v>
      </c>
      <c r="D570" s="370" t="s">
        <v>2165</v>
      </c>
      <c r="E570" s="371" t="s">
        <v>1730</v>
      </c>
      <c r="F570" s="376" t="s">
        <v>23</v>
      </c>
      <c r="G570" s="377"/>
      <c r="H570" s="372" t="s">
        <v>2165</v>
      </c>
      <c r="I570" s="373" t="s">
        <v>2165</v>
      </c>
      <c r="J570" s="374">
        <v>6925.8499999999995</v>
      </c>
      <c r="K570" s="378">
        <v>7001250809</v>
      </c>
      <c r="L570" s="379">
        <v>4.5923209760326283E-4</v>
      </c>
    </row>
    <row r="571" spans="1:12" ht="45" x14ac:dyDescent="0.25">
      <c r="A571" s="375" t="s">
        <v>1165</v>
      </c>
      <c r="B571" s="376" t="s">
        <v>1165</v>
      </c>
      <c r="C571" s="370" t="s">
        <v>2165</v>
      </c>
      <c r="D571" s="370" t="s">
        <v>2165</v>
      </c>
      <c r="E571" s="371" t="s">
        <v>1731</v>
      </c>
      <c r="F571" s="376" t="s">
        <v>23</v>
      </c>
      <c r="G571" s="377"/>
      <c r="H571" s="372" t="s">
        <v>2165</v>
      </c>
      <c r="I571" s="373" t="s">
        <v>2165</v>
      </c>
      <c r="J571" s="374">
        <v>7617.4800000000005</v>
      </c>
      <c r="K571" s="378">
        <v>7001250810</v>
      </c>
      <c r="L571" s="379">
        <v>4.5345365917177991E-4</v>
      </c>
    </row>
    <row r="572" spans="1:12" ht="45" x14ac:dyDescent="0.25">
      <c r="A572" s="375" t="s">
        <v>1166</v>
      </c>
      <c r="B572" s="376" t="s">
        <v>1166</v>
      </c>
      <c r="C572" s="370" t="s">
        <v>2165</v>
      </c>
      <c r="D572" s="370" t="s">
        <v>2165</v>
      </c>
      <c r="E572" s="371" t="s">
        <v>1732</v>
      </c>
      <c r="F572" s="376" t="s">
        <v>23</v>
      </c>
      <c r="G572" s="377"/>
      <c r="H572" s="372" t="s">
        <v>2165</v>
      </c>
      <c r="I572" s="373" t="s">
        <v>2165</v>
      </c>
      <c r="J572" s="374">
        <v>8914.06</v>
      </c>
      <c r="K572" s="378">
        <v>7001250811</v>
      </c>
      <c r="L572" s="379">
        <v>4.608203550939129E-4</v>
      </c>
    </row>
    <row r="573" spans="1:12" ht="45" x14ac:dyDescent="0.25">
      <c r="A573" s="375" t="s">
        <v>1167</v>
      </c>
      <c r="B573" s="376" t="s">
        <v>1167</v>
      </c>
      <c r="C573" s="370" t="s">
        <v>2165</v>
      </c>
      <c r="D573" s="370" t="s">
        <v>2165</v>
      </c>
      <c r="E573" s="371" t="s">
        <v>1733</v>
      </c>
      <c r="F573" s="376" t="s">
        <v>23</v>
      </c>
      <c r="G573" s="377"/>
      <c r="H573" s="372" t="s">
        <v>2165</v>
      </c>
      <c r="I573" s="373" t="s">
        <v>2165</v>
      </c>
      <c r="J573" s="374">
        <v>9682.6899999999987</v>
      </c>
      <c r="K573" s="378">
        <v>7001250812</v>
      </c>
      <c r="L573" s="379">
        <v>4.544547766081347E-4</v>
      </c>
    </row>
    <row r="574" spans="1:12" ht="45" x14ac:dyDescent="0.25">
      <c r="A574" s="375" t="s">
        <v>1168</v>
      </c>
      <c r="B574" s="376" t="s">
        <v>1168</v>
      </c>
      <c r="C574" s="370" t="s">
        <v>2165</v>
      </c>
      <c r="D574" s="370" t="s">
        <v>2165</v>
      </c>
      <c r="E574" s="371" t="s">
        <v>1734</v>
      </c>
      <c r="F574" s="376" t="s">
        <v>23</v>
      </c>
      <c r="G574" s="377"/>
      <c r="H574" s="372" t="s">
        <v>2165</v>
      </c>
      <c r="I574" s="373" t="s">
        <v>2165</v>
      </c>
      <c r="J574" s="374">
        <v>10474.039999999997</v>
      </c>
      <c r="K574" s="378">
        <v>7001250813</v>
      </c>
      <c r="L574" s="379">
        <v>4.4805951382375937E-4</v>
      </c>
    </row>
    <row r="575" spans="1:12" ht="45" x14ac:dyDescent="0.25">
      <c r="A575" s="375" t="s">
        <v>1169</v>
      </c>
      <c r="B575" s="376" t="s">
        <v>1169</v>
      </c>
      <c r="C575" s="370" t="s">
        <v>2165</v>
      </c>
      <c r="D575" s="370" t="s">
        <v>2165</v>
      </c>
      <c r="E575" s="371" t="s">
        <v>1735</v>
      </c>
      <c r="F575" s="376" t="s">
        <v>23</v>
      </c>
      <c r="G575" s="377"/>
      <c r="H575" s="372" t="s">
        <v>2165</v>
      </c>
      <c r="I575" s="373" t="s">
        <v>2165</v>
      </c>
      <c r="J575" s="374">
        <v>10964.15</v>
      </c>
      <c r="K575" s="378">
        <v>7001250814</v>
      </c>
      <c r="L575" s="379">
        <v>4.4085401260960722E-4</v>
      </c>
    </row>
    <row r="576" spans="1:12" s="10" customFormat="1" x14ac:dyDescent="0.25">
      <c r="A576" s="34" t="s">
        <v>1195</v>
      </c>
      <c r="B576" s="176" t="s">
        <v>2165</v>
      </c>
      <c r="C576" s="383" t="s">
        <v>2165</v>
      </c>
      <c r="D576" s="383" t="s">
        <v>2165</v>
      </c>
      <c r="E576" s="384" t="s">
        <v>1206</v>
      </c>
      <c r="F576" s="174"/>
      <c r="G576" s="175"/>
      <c r="H576" s="385" t="s">
        <v>2165</v>
      </c>
      <c r="I576" s="386" t="s">
        <v>2165</v>
      </c>
      <c r="J576" s="387" t="s">
        <v>2165</v>
      </c>
      <c r="K576" s="282" t="s">
        <v>2165</v>
      </c>
      <c r="L576" s="285" t="s">
        <v>2165</v>
      </c>
    </row>
    <row r="577" spans="1:12" ht="45" x14ac:dyDescent="0.25">
      <c r="A577" s="381" t="s">
        <v>1170</v>
      </c>
      <c r="B577" s="382" t="s">
        <v>1170</v>
      </c>
      <c r="C577" s="370" t="s">
        <v>2165</v>
      </c>
      <c r="D577" s="370" t="s">
        <v>2165</v>
      </c>
      <c r="E577" s="371" t="s">
        <v>1736</v>
      </c>
      <c r="F577" s="376" t="s">
        <v>23</v>
      </c>
      <c r="G577" s="377"/>
      <c r="H577" s="372" t="s">
        <v>2165</v>
      </c>
      <c r="I577" s="373" t="s">
        <v>2165</v>
      </c>
      <c r="J577" s="374">
        <v>5343.6899999999987</v>
      </c>
      <c r="K577" s="378">
        <v>7001250815</v>
      </c>
      <c r="L577" s="379">
        <v>7.5307308363610698E-4</v>
      </c>
    </row>
    <row r="578" spans="1:12" ht="45" x14ac:dyDescent="0.25">
      <c r="A578" s="375" t="s">
        <v>1171</v>
      </c>
      <c r="B578" s="376" t="s">
        <v>1171</v>
      </c>
      <c r="C578" s="370" t="s">
        <v>2165</v>
      </c>
      <c r="D578" s="370" t="s">
        <v>2165</v>
      </c>
      <c r="E578" s="371" t="s">
        <v>1737</v>
      </c>
      <c r="F578" s="376" t="s">
        <v>23</v>
      </c>
      <c r="G578" s="377"/>
      <c r="H578" s="372" t="s">
        <v>2165</v>
      </c>
      <c r="I578" s="373" t="s">
        <v>2165</v>
      </c>
      <c r="J578" s="374">
        <v>6520.4800000000014</v>
      </c>
      <c r="K578" s="378">
        <v>7001250816</v>
      </c>
      <c r="L578" s="379">
        <v>7.6984702011665708E-4</v>
      </c>
    </row>
    <row r="579" spans="1:12" ht="45" x14ac:dyDescent="0.25">
      <c r="A579" s="375" t="s">
        <v>1172</v>
      </c>
      <c r="B579" s="376" t="s">
        <v>1172</v>
      </c>
      <c r="C579" s="370" t="s">
        <v>2165</v>
      </c>
      <c r="D579" s="370" t="s">
        <v>2165</v>
      </c>
      <c r="E579" s="371" t="s">
        <v>1738</v>
      </c>
      <c r="F579" s="376" t="s">
        <v>23</v>
      </c>
      <c r="G579" s="377"/>
      <c r="H579" s="372" t="s">
        <v>2165</v>
      </c>
      <c r="I579" s="373" t="s">
        <v>2165</v>
      </c>
      <c r="J579" s="374">
        <v>7208.57</v>
      </c>
      <c r="K579" s="378">
        <v>7001250817</v>
      </c>
      <c r="L579" s="379">
        <v>7.7385181136378929E-4</v>
      </c>
    </row>
    <row r="580" spans="1:12" ht="45" x14ac:dyDescent="0.25">
      <c r="A580" s="375" t="s">
        <v>1173</v>
      </c>
      <c r="B580" s="376" t="s">
        <v>1173</v>
      </c>
      <c r="C580" s="370" t="s">
        <v>2165</v>
      </c>
      <c r="D580" s="370" t="s">
        <v>2165</v>
      </c>
      <c r="E580" s="371" t="s">
        <v>1739</v>
      </c>
      <c r="F580" s="376" t="s">
        <v>23</v>
      </c>
      <c r="G580" s="377"/>
      <c r="H580" s="372" t="s">
        <v>2165</v>
      </c>
      <c r="I580" s="373" t="s">
        <v>2165</v>
      </c>
      <c r="J580" s="374">
        <v>9138.93</v>
      </c>
      <c r="K580" s="378">
        <v>7001250818</v>
      </c>
      <c r="L580" s="379">
        <v>7.9002085486242553E-4</v>
      </c>
    </row>
    <row r="581" spans="1:12" ht="45" x14ac:dyDescent="0.25">
      <c r="A581" s="375" t="s">
        <v>1174</v>
      </c>
      <c r="B581" s="376" t="s">
        <v>1174</v>
      </c>
      <c r="C581" s="370" t="s">
        <v>2165</v>
      </c>
      <c r="D581" s="370" t="s">
        <v>2165</v>
      </c>
      <c r="E581" s="371" t="s">
        <v>1740</v>
      </c>
      <c r="F581" s="376" t="s">
        <v>23</v>
      </c>
      <c r="G581" s="377"/>
      <c r="H581" s="372" t="s">
        <v>2165</v>
      </c>
      <c r="I581" s="373" t="s">
        <v>2165</v>
      </c>
      <c r="J581" s="374">
        <v>9973.83</v>
      </c>
      <c r="K581" s="378">
        <v>7001250819</v>
      </c>
      <c r="L581" s="379">
        <v>7.8942105550109244E-4</v>
      </c>
    </row>
    <row r="582" spans="1:12" ht="45" x14ac:dyDescent="0.25">
      <c r="A582" s="375" t="s">
        <v>1175</v>
      </c>
      <c r="B582" s="376" t="s">
        <v>1175</v>
      </c>
      <c r="C582" s="370" t="s">
        <v>2165</v>
      </c>
      <c r="D582" s="370" t="s">
        <v>2165</v>
      </c>
      <c r="E582" s="371" t="s">
        <v>1741</v>
      </c>
      <c r="F582" s="376" t="s">
        <v>23</v>
      </c>
      <c r="G582" s="377"/>
      <c r="H582" s="372" t="s">
        <v>2165</v>
      </c>
      <c r="I582" s="373" t="s">
        <v>2165</v>
      </c>
      <c r="J582" s="374">
        <v>11104.92</v>
      </c>
      <c r="K582" s="378">
        <v>7001250820</v>
      </c>
      <c r="L582" s="379">
        <v>7.9182473266994425E-4</v>
      </c>
    </row>
    <row r="583" spans="1:12" ht="45" x14ac:dyDescent="0.25">
      <c r="A583" s="375" t="s">
        <v>1176</v>
      </c>
      <c r="B583" s="376" t="s">
        <v>1176</v>
      </c>
      <c r="C583" s="370" t="s">
        <v>2165</v>
      </c>
      <c r="D583" s="370" t="s">
        <v>2165</v>
      </c>
      <c r="E583" s="371" t="s">
        <v>1742</v>
      </c>
      <c r="F583" s="376" t="s">
        <v>23</v>
      </c>
      <c r="G583" s="377"/>
      <c r="H583" s="372" t="s">
        <v>2165</v>
      </c>
      <c r="I583" s="373" t="s">
        <v>2165</v>
      </c>
      <c r="J583" s="374">
        <v>13116.970000000001</v>
      </c>
      <c r="K583" s="378">
        <v>7001250821</v>
      </c>
      <c r="L583" s="379">
        <v>8.027586957567932E-4</v>
      </c>
    </row>
    <row r="584" spans="1:12" ht="45" x14ac:dyDescent="0.25">
      <c r="A584" s="375" t="s">
        <v>1177</v>
      </c>
      <c r="B584" s="376" t="s">
        <v>1177</v>
      </c>
      <c r="C584" s="370" t="s">
        <v>2165</v>
      </c>
      <c r="D584" s="370" t="s">
        <v>2165</v>
      </c>
      <c r="E584" s="371" t="s">
        <v>1743</v>
      </c>
      <c r="F584" s="376" t="s">
        <v>23</v>
      </c>
      <c r="G584" s="377"/>
      <c r="H584" s="372" t="s">
        <v>2165</v>
      </c>
      <c r="I584" s="373" t="s">
        <v>2165</v>
      </c>
      <c r="J584" s="374">
        <v>14422.949999999997</v>
      </c>
      <c r="K584" s="378">
        <v>7001250822</v>
      </c>
      <c r="L584" s="379">
        <v>8.0305110522555488E-4</v>
      </c>
    </row>
    <row r="585" spans="1:12" ht="45" x14ac:dyDescent="0.25">
      <c r="A585" s="375" t="s">
        <v>1178</v>
      </c>
      <c r="B585" s="376" t="s">
        <v>1178</v>
      </c>
      <c r="C585" s="370" t="s">
        <v>2165</v>
      </c>
      <c r="D585" s="370" t="s">
        <v>2165</v>
      </c>
      <c r="E585" s="371" t="s">
        <v>1744</v>
      </c>
      <c r="F585" s="376" t="s">
        <v>23</v>
      </c>
      <c r="G585" s="377"/>
      <c r="H585" s="372" t="s">
        <v>2165</v>
      </c>
      <c r="I585" s="373" t="s">
        <v>2165</v>
      </c>
      <c r="J585" s="374">
        <v>15745.04</v>
      </c>
      <c r="K585" s="378">
        <v>7001250823</v>
      </c>
      <c r="L585" s="379">
        <v>8.036785448481816E-4</v>
      </c>
    </row>
    <row r="586" spans="1:12" ht="45" x14ac:dyDescent="0.25">
      <c r="A586" s="375" t="s">
        <v>1179</v>
      </c>
      <c r="B586" s="376" t="s">
        <v>1179</v>
      </c>
      <c r="C586" s="370" t="s">
        <v>2165</v>
      </c>
      <c r="D586" s="370" t="s">
        <v>2165</v>
      </c>
      <c r="E586" s="371" t="s">
        <v>1745</v>
      </c>
      <c r="F586" s="376" t="s">
        <v>23</v>
      </c>
      <c r="G586" s="377"/>
      <c r="H586" s="372" t="s">
        <v>2165</v>
      </c>
      <c r="I586" s="373" t="s">
        <v>2165</v>
      </c>
      <c r="J586" s="374">
        <v>16602.7</v>
      </c>
      <c r="K586" s="378">
        <v>7001250824</v>
      </c>
      <c r="L586" s="379">
        <v>8.0267476405383026E-4</v>
      </c>
    </row>
    <row r="587" spans="1:12" s="10" customFormat="1" x14ac:dyDescent="0.25">
      <c r="A587" s="34" t="s">
        <v>1207</v>
      </c>
      <c r="B587" s="174" t="s">
        <v>2165</v>
      </c>
      <c r="C587" s="383" t="s">
        <v>2165</v>
      </c>
      <c r="D587" s="383" t="s">
        <v>2165</v>
      </c>
      <c r="E587" s="384" t="s">
        <v>1243</v>
      </c>
      <c r="F587" s="174"/>
      <c r="G587" s="175"/>
      <c r="H587" s="385" t="s">
        <v>2165</v>
      </c>
      <c r="I587" s="386" t="s">
        <v>2165</v>
      </c>
      <c r="J587" s="387" t="s">
        <v>2165</v>
      </c>
      <c r="K587" s="282" t="s">
        <v>2165</v>
      </c>
      <c r="L587" s="285" t="s">
        <v>2165</v>
      </c>
    </row>
    <row r="588" spans="1:12" ht="45" x14ac:dyDescent="0.25">
      <c r="A588" s="375" t="s">
        <v>1180</v>
      </c>
      <c r="B588" s="376" t="s">
        <v>1180</v>
      </c>
      <c r="C588" s="370" t="s">
        <v>2165</v>
      </c>
      <c r="D588" s="370" t="s">
        <v>2165</v>
      </c>
      <c r="E588" s="371" t="s">
        <v>1746</v>
      </c>
      <c r="F588" s="376" t="s">
        <v>23</v>
      </c>
      <c r="G588" s="377"/>
      <c r="H588" s="372" t="s">
        <v>2165</v>
      </c>
      <c r="I588" s="373" t="s">
        <v>2165</v>
      </c>
      <c r="J588" s="374">
        <v>3554.43</v>
      </c>
      <c r="K588" s="378">
        <v>7001250825</v>
      </c>
      <c r="L588" s="379">
        <v>4.8855295962853523E-4</v>
      </c>
    </row>
    <row r="589" spans="1:12" ht="45" x14ac:dyDescent="0.25">
      <c r="A589" s="375" t="s">
        <v>1181</v>
      </c>
      <c r="B589" s="376" t="s">
        <v>1181</v>
      </c>
      <c r="C589" s="370" t="s">
        <v>2165</v>
      </c>
      <c r="D589" s="370" t="s">
        <v>2165</v>
      </c>
      <c r="E589" s="371" t="s">
        <v>1747</v>
      </c>
      <c r="F589" s="376" t="s">
        <v>23</v>
      </c>
      <c r="G589" s="377"/>
      <c r="H589" s="372" t="s">
        <v>2165</v>
      </c>
      <c r="I589" s="373" t="s">
        <v>2165</v>
      </c>
      <c r="J589" s="374">
        <v>3849.9300000000003</v>
      </c>
      <c r="K589" s="378">
        <v>7001250826</v>
      </c>
      <c r="L589" s="379">
        <v>4.7671932502214626E-4</v>
      </c>
    </row>
    <row r="590" spans="1:12" ht="45" x14ac:dyDescent="0.25">
      <c r="A590" s="375" t="s">
        <v>1182</v>
      </c>
      <c r="B590" s="376" t="s">
        <v>1182</v>
      </c>
      <c r="C590" s="370" t="s">
        <v>2165</v>
      </c>
      <c r="D590" s="370" t="s">
        <v>2165</v>
      </c>
      <c r="E590" s="371" t="s">
        <v>1748</v>
      </c>
      <c r="F590" s="376" t="s">
        <v>23</v>
      </c>
      <c r="G590" s="377"/>
      <c r="H590" s="372" t="s">
        <v>2165</v>
      </c>
      <c r="I590" s="373" t="s">
        <v>2165</v>
      </c>
      <c r="J590" s="374">
        <v>4402.3599999999997</v>
      </c>
      <c r="K590" s="378">
        <v>7001250827</v>
      </c>
      <c r="L590" s="379">
        <v>4.6179124821439291E-4</v>
      </c>
    </row>
    <row r="591" spans="1:12" ht="45" x14ac:dyDescent="0.25">
      <c r="A591" s="375" t="s">
        <v>1183</v>
      </c>
      <c r="B591" s="376" t="s">
        <v>1183</v>
      </c>
      <c r="C591" s="370" t="s">
        <v>2165</v>
      </c>
      <c r="D591" s="370" t="s">
        <v>2165</v>
      </c>
      <c r="E591" s="371" t="s">
        <v>1749</v>
      </c>
      <c r="F591" s="376" t="s">
        <v>23</v>
      </c>
      <c r="G591" s="377"/>
      <c r="H591" s="372" t="s">
        <v>2165</v>
      </c>
      <c r="I591" s="373" t="s">
        <v>2165</v>
      </c>
      <c r="J591" s="374">
        <v>5671.61</v>
      </c>
      <c r="K591" s="378">
        <v>7001250828</v>
      </c>
      <c r="L591" s="379">
        <v>4.6028826525819735E-4</v>
      </c>
    </row>
    <row r="592" spans="1:12" ht="45" x14ac:dyDescent="0.25">
      <c r="A592" s="375" t="s">
        <v>1184</v>
      </c>
      <c r="B592" s="376" t="s">
        <v>1184</v>
      </c>
      <c r="C592" s="370" t="s">
        <v>2165</v>
      </c>
      <c r="D592" s="370" t="s">
        <v>2165</v>
      </c>
      <c r="E592" s="371" t="s">
        <v>1750</v>
      </c>
      <c r="F592" s="376" t="s">
        <v>23</v>
      </c>
      <c r="G592" s="377"/>
      <c r="H592" s="372" t="s">
        <v>2165</v>
      </c>
      <c r="I592" s="373" t="s">
        <v>2165</v>
      </c>
      <c r="J592" s="374">
        <v>6720.87</v>
      </c>
      <c r="K592" s="378">
        <v>7001250829</v>
      </c>
      <c r="L592" s="379">
        <v>4.3479295794754446E-4</v>
      </c>
    </row>
    <row r="593" spans="1:12" ht="45" x14ac:dyDescent="0.25">
      <c r="A593" s="375" t="s">
        <v>1185</v>
      </c>
      <c r="B593" s="376" t="s">
        <v>1185</v>
      </c>
      <c r="C593" s="370" t="s">
        <v>2165</v>
      </c>
      <c r="D593" s="370" t="s">
        <v>2165</v>
      </c>
      <c r="E593" s="371" t="s">
        <v>1751</v>
      </c>
      <c r="F593" s="376" t="s">
        <v>23</v>
      </c>
      <c r="G593" s="377"/>
      <c r="H593" s="372" t="s">
        <v>2165</v>
      </c>
      <c r="I593" s="373" t="s">
        <v>2165</v>
      </c>
      <c r="J593" s="374">
        <v>7943.25</v>
      </c>
      <c r="K593" s="378">
        <v>7001250830</v>
      </c>
      <c r="L593" s="379">
        <v>4.0711050858455861E-4</v>
      </c>
    </row>
    <row r="594" spans="1:12" s="10" customFormat="1" x14ac:dyDescent="0.25">
      <c r="A594" s="34" t="s">
        <v>1104</v>
      </c>
      <c r="B594" s="174" t="s">
        <v>2165</v>
      </c>
      <c r="C594" s="383" t="s">
        <v>2165</v>
      </c>
      <c r="D594" s="383" t="s">
        <v>2165</v>
      </c>
      <c r="E594" s="384" t="s">
        <v>1208</v>
      </c>
      <c r="F594" s="174"/>
      <c r="G594" s="175"/>
      <c r="H594" s="385" t="s">
        <v>2165</v>
      </c>
      <c r="I594" s="386" t="s">
        <v>2165</v>
      </c>
      <c r="J594" s="387" t="s">
        <v>2165</v>
      </c>
      <c r="K594" s="282" t="s">
        <v>2165</v>
      </c>
      <c r="L594" s="285" t="s">
        <v>2165</v>
      </c>
    </row>
    <row r="595" spans="1:12" ht="45" x14ac:dyDescent="0.25">
      <c r="A595" s="375" t="s">
        <v>1186</v>
      </c>
      <c r="B595" s="376" t="s">
        <v>1186</v>
      </c>
      <c r="C595" s="370" t="s">
        <v>2165</v>
      </c>
      <c r="D595" s="370" t="s">
        <v>2165</v>
      </c>
      <c r="E595" s="371" t="s">
        <v>1752</v>
      </c>
      <c r="F595" s="376" t="s">
        <v>23</v>
      </c>
      <c r="G595" s="377"/>
      <c r="H595" s="372" t="s">
        <v>2165</v>
      </c>
      <c r="I595" s="373" t="s">
        <v>2165</v>
      </c>
      <c r="J595" s="374">
        <v>4644.32</v>
      </c>
      <c r="K595" s="378">
        <v>7001250831</v>
      </c>
      <c r="L595" s="379">
        <v>7.461867288305052E-4</v>
      </c>
    </row>
    <row r="596" spans="1:12" ht="45" x14ac:dyDescent="0.25">
      <c r="A596" s="375" t="s">
        <v>1187</v>
      </c>
      <c r="B596" s="376" t="s">
        <v>1187</v>
      </c>
      <c r="C596" s="370" t="s">
        <v>2165</v>
      </c>
      <c r="D596" s="370" t="s">
        <v>2165</v>
      </c>
      <c r="E596" s="371" t="s">
        <v>1753</v>
      </c>
      <c r="F596" s="376" t="s">
        <v>23</v>
      </c>
      <c r="G596" s="377"/>
      <c r="H596" s="372" t="s">
        <v>2165</v>
      </c>
      <c r="I596" s="373" t="s">
        <v>2165</v>
      </c>
      <c r="J596" s="374">
        <v>5125.420000000001</v>
      </c>
      <c r="K596" s="378">
        <v>7001250832</v>
      </c>
      <c r="L596" s="379">
        <v>7.5103668877413068E-4</v>
      </c>
    </row>
    <row r="597" spans="1:12" ht="45" x14ac:dyDescent="0.25">
      <c r="A597" s="375" t="s">
        <v>1188</v>
      </c>
      <c r="B597" s="376" t="s">
        <v>1188</v>
      </c>
      <c r="C597" s="370" t="s">
        <v>2165</v>
      </c>
      <c r="D597" s="370" t="s">
        <v>2165</v>
      </c>
      <c r="E597" s="371" t="s">
        <v>1754</v>
      </c>
      <c r="F597" s="376" t="s">
        <v>23</v>
      </c>
      <c r="G597" s="377"/>
      <c r="H597" s="372" t="s">
        <v>2165</v>
      </c>
      <c r="I597" s="373" t="s">
        <v>2165</v>
      </c>
      <c r="J597" s="374">
        <v>6009.96</v>
      </c>
      <c r="K597" s="378">
        <v>7001250833</v>
      </c>
      <c r="L597" s="379">
        <v>7.5240890956718197E-4</v>
      </c>
    </row>
    <row r="598" spans="1:12" ht="45" x14ac:dyDescent="0.25">
      <c r="A598" s="375" t="s">
        <v>1189</v>
      </c>
      <c r="B598" s="376" t="s">
        <v>1189</v>
      </c>
      <c r="C598" s="370" t="s">
        <v>2165</v>
      </c>
      <c r="D598" s="370" t="s">
        <v>2165</v>
      </c>
      <c r="E598" s="371" t="s">
        <v>1755</v>
      </c>
      <c r="F598" s="376" t="s">
        <v>23</v>
      </c>
      <c r="G598" s="377"/>
      <c r="H598" s="372" t="s">
        <v>2165</v>
      </c>
      <c r="I598" s="373" t="s">
        <v>2165</v>
      </c>
      <c r="J598" s="374">
        <v>7975.510000000002</v>
      </c>
      <c r="K598" s="378">
        <v>7001250834</v>
      </c>
      <c r="L598" s="379">
        <v>7.7042909099512061E-4</v>
      </c>
    </row>
    <row r="599" spans="1:12" ht="45" x14ac:dyDescent="0.25">
      <c r="A599" s="375" t="s">
        <v>1190</v>
      </c>
      <c r="B599" s="376" t="s">
        <v>1190</v>
      </c>
      <c r="C599" s="370" t="s">
        <v>2165</v>
      </c>
      <c r="D599" s="370" t="s">
        <v>2165</v>
      </c>
      <c r="E599" s="371" t="s">
        <v>1756</v>
      </c>
      <c r="F599" s="376" t="s">
        <v>23</v>
      </c>
      <c r="G599" s="377"/>
      <c r="H599" s="372" t="s">
        <v>2165</v>
      </c>
      <c r="I599" s="373" t="s">
        <v>2165</v>
      </c>
      <c r="J599" s="374">
        <v>9713.8000000000011</v>
      </c>
      <c r="K599" s="378">
        <v>7001250835</v>
      </c>
      <c r="L599" s="379">
        <v>7.7221989328898574E-4</v>
      </c>
    </row>
    <row r="600" spans="1:12" ht="45" x14ac:dyDescent="0.25">
      <c r="A600" s="375" t="s">
        <v>1191</v>
      </c>
      <c r="B600" s="376" t="s">
        <v>1191</v>
      </c>
      <c r="C600" s="370" t="s">
        <v>2165</v>
      </c>
      <c r="D600" s="370" t="s">
        <v>2165</v>
      </c>
      <c r="E600" s="371" t="s">
        <v>1757</v>
      </c>
      <c r="F600" s="376" t="s">
        <v>23</v>
      </c>
      <c r="G600" s="377"/>
      <c r="H600" s="372" t="s">
        <v>2165</v>
      </c>
      <c r="I600" s="373" t="s">
        <v>2165</v>
      </c>
      <c r="J600" s="374">
        <v>11775.61</v>
      </c>
      <c r="K600" s="378">
        <v>7001250836</v>
      </c>
      <c r="L600" s="379">
        <v>7.7157350842280332E-4</v>
      </c>
    </row>
    <row r="601" spans="1:12" s="10" customFormat="1" x14ac:dyDescent="0.25">
      <c r="A601" s="34" t="s">
        <v>1105</v>
      </c>
      <c r="B601" s="174" t="s">
        <v>2165</v>
      </c>
      <c r="C601" s="383" t="s">
        <v>2165</v>
      </c>
      <c r="D601" s="383" t="s">
        <v>2165</v>
      </c>
      <c r="E601" s="384" t="s">
        <v>1244</v>
      </c>
      <c r="F601" s="174"/>
      <c r="G601" s="175"/>
      <c r="H601" s="385" t="s">
        <v>2165</v>
      </c>
      <c r="I601" s="386" t="s">
        <v>2165</v>
      </c>
      <c r="J601" s="387" t="s">
        <v>2165</v>
      </c>
      <c r="K601" s="282" t="s">
        <v>2165</v>
      </c>
      <c r="L601" s="285" t="s">
        <v>2165</v>
      </c>
    </row>
    <row r="602" spans="1:12" ht="45" x14ac:dyDescent="0.25">
      <c r="A602" s="375" t="s">
        <v>1192</v>
      </c>
      <c r="B602" s="376" t="s">
        <v>1192</v>
      </c>
      <c r="C602" s="370" t="s">
        <v>2165</v>
      </c>
      <c r="D602" s="370" t="s">
        <v>2165</v>
      </c>
      <c r="E602" s="371" t="s">
        <v>1758</v>
      </c>
      <c r="F602" s="376" t="s">
        <v>23</v>
      </c>
      <c r="G602" s="377"/>
      <c r="H602" s="372" t="s">
        <v>2165</v>
      </c>
      <c r="I602" s="373" t="s">
        <v>2165</v>
      </c>
      <c r="J602" s="374">
        <v>4697.63</v>
      </c>
      <c r="K602" s="378">
        <v>7001250837</v>
      </c>
      <c r="L602" s="379">
        <v>4.6754293859788316E-4</v>
      </c>
    </row>
    <row r="603" spans="1:12" ht="45" x14ac:dyDescent="0.25">
      <c r="A603" s="375" t="s">
        <v>1193</v>
      </c>
      <c r="B603" s="376" t="s">
        <v>1193</v>
      </c>
      <c r="C603" s="370" t="s">
        <v>2165</v>
      </c>
      <c r="D603" s="370" t="s">
        <v>2165</v>
      </c>
      <c r="E603" s="371" t="s">
        <v>1759</v>
      </c>
      <c r="F603" s="376" t="s">
        <v>23</v>
      </c>
      <c r="G603" s="377"/>
      <c r="H603" s="372" t="s">
        <v>2165</v>
      </c>
      <c r="I603" s="373" t="s">
        <v>2165</v>
      </c>
      <c r="J603" s="374">
        <v>5147.4500000000007</v>
      </c>
      <c r="K603" s="378">
        <v>7001250838</v>
      </c>
      <c r="L603" s="379">
        <v>4.6360241598110598E-4</v>
      </c>
    </row>
    <row r="604" spans="1:12" ht="45" x14ac:dyDescent="0.25">
      <c r="A604" s="375" t="s">
        <v>1194</v>
      </c>
      <c r="B604" s="376" t="s">
        <v>1194</v>
      </c>
      <c r="C604" s="370" t="s">
        <v>2165</v>
      </c>
      <c r="D604" s="370" t="s">
        <v>2165</v>
      </c>
      <c r="E604" s="371" t="s">
        <v>1760</v>
      </c>
      <c r="F604" s="376" t="s">
        <v>23</v>
      </c>
      <c r="G604" s="377"/>
      <c r="H604" s="372" t="s">
        <v>2165</v>
      </c>
      <c r="I604" s="373" t="s">
        <v>2165</v>
      </c>
      <c r="J604" s="374">
        <v>6487.1</v>
      </c>
      <c r="K604" s="378">
        <v>7001250839</v>
      </c>
      <c r="L604" s="379">
        <v>4.4899190209073852E-4</v>
      </c>
    </row>
    <row r="605" spans="1:12" ht="45" x14ac:dyDescent="0.25">
      <c r="A605" s="375" t="s">
        <v>1196</v>
      </c>
      <c r="B605" s="376" t="s">
        <v>1196</v>
      </c>
      <c r="C605" s="370" t="s">
        <v>2165</v>
      </c>
      <c r="D605" s="370" t="s">
        <v>2165</v>
      </c>
      <c r="E605" s="371" t="s">
        <v>1761</v>
      </c>
      <c r="F605" s="376" t="s">
        <v>23</v>
      </c>
      <c r="G605" s="377"/>
      <c r="H605" s="372" t="s">
        <v>2165</v>
      </c>
      <c r="I605" s="373" t="s">
        <v>2165</v>
      </c>
      <c r="J605" s="374">
        <v>7194.54</v>
      </c>
      <c r="K605" s="378">
        <v>7001250840</v>
      </c>
      <c r="L605" s="379">
        <v>4.3653575254294077E-4</v>
      </c>
    </row>
    <row r="606" spans="1:12" ht="45" x14ac:dyDescent="0.25">
      <c r="A606" s="375" t="s">
        <v>1197</v>
      </c>
      <c r="B606" s="376" t="s">
        <v>1197</v>
      </c>
      <c r="C606" s="370" t="s">
        <v>2165</v>
      </c>
      <c r="D606" s="370" t="s">
        <v>2165</v>
      </c>
      <c r="E606" s="371" t="s">
        <v>1762</v>
      </c>
      <c r="F606" s="376" t="s">
        <v>23</v>
      </c>
      <c r="G606" s="377"/>
      <c r="H606" s="372" t="s">
        <v>2165</v>
      </c>
      <c r="I606" s="373" t="s">
        <v>2165</v>
      </c>
      <c r="J606" s="374">
        <v>8384.0799999999981</v>
      </c>
      <c r="K606" s="378">
        <v>7001250841</v>
      </c>
      <c r="L606" s="379">
        <v>4.1946536931900376E-4</v>
      </c>
    </row>
    <row r="607" spans="1:12" ht="45" x14ac:dyDescent="0.25">
      <c r="A607" s="375" t="s">
        <v>1198</v>
      </c>
      <c r="B607" s="376" t="s">
        <v>1198</v>
      </c>
      <c r="C607" s="370" t="s">
        <v>2165</v>
      </c>
      <c r="D607" s="370" t="s">
        <v>2165</v>
      </c>
      <c r="E607" s="371" t="s">
        <v>1763</v>
      </c>
      <c r="F607" s="376" t="s">
        <v>23</v>
      </c>
      <c r="G607" s="377"/>
      <c r="H607" s="372" t="s">
        <v>2165</v>
      </c>
      <c r="I607" s="373" t="s">
        <v>2165</v>
      </c>
      <c r="J607" s="374">
        <v>9691.7899999999991</v>
      </c>
      <c r="K607" s="378">
        <v>7001250842</v>
      </c>
      <c r="L607" s="379">
        <v>4.097226138285229E-4</v>
      </c>
    </row>
    <row r="608" spans="1:12" s="10" customFormat="1" x14ac:dyDescent="0.25">
      <c r="A608" s="34" t="s">
        <v>1209</v>
      </c>
      <c r="B608" s="174" t="s">
        <v>2165</v>
      </c>
      <c r="C608" s="383" t="s">
        <v>2165</v>
      </c>
      <c r="D608" s="383" t="s">
        <v>2165</v>
      </c>
      <c r="E608" s="384" t="s">
        <v>1210</v>
      </c>
      <c r="F608" s="174"/>
      <c r="G608" s="175"/>
      <c r="H608" s="385" t="s">
        <v>2165</v>
      </c>
      <c r="I608" s="386" t="s">
        <v>2165</v>
      </c>
      <c r="J608" s="387" t="s">
        <v>2165</v>
      </c>
      <c r="K608" s="282" t="s">
        <v>2165</v>
      </c>
      <c r="L608" s="285" t="s">
        <v>2165</v>
      </c>
    </row>
    <row r="609" spans="1:12" ht="45" x14ac:dyDescent="0.25">
      <c r="A609" s="375" t="s">
        <v>1199</v>
      </c>
      <c r="B609" s="376" t="s">
        <v>1199</v>
      </c>
      <c r="C609" s="370" t="s">
        <v>2165</v>
      </c>
      <c r="D609" s="370" t="s">
        <v>2165</v>
      </c>
      <c r="E609" s="371" t="s">
        <v>1764</v>
      </c>
      <c r="F609" s="376" t="s">
        <v>23</v>
      </c>
      <c r="G609" s="377"/>
      <c r="H609" s="372" t="s">
        <v>2165</v>
      </c>
      <c r="I609" s="373" t="s">
        <v>2165</v>
      </c>
      <c r="J609" s="374">
        <v>6390.4699999999993</v>
      </c>
      <c r="K609" s="378">
        <v>7001250843</v>
      </c>
      <c r="L609" s="379">
        <v>7.6873410060720592E-4</v>
      </c>
    </row>
    <row r="610" spans="1:12" ht="45" x14ac:dyDescent="0.25">
      <c r="A610" s="375" t="s">
        <v>1200</v>
      </c>
      <c r="B610" s="376" t="s">
        <v>1200</v>
      </c>
      <c r="C610" s="370" t="s">
        <v>2165</v>
      </c>
      <c r="D610" s="370" t="s">
        <v>2165</v>
      </c>
      <c r="E610" s="371" t="s">
        <v>1765</v>
      </c>
      <c r="F610" s="376" t="s">
        <v>23</v>
      </c>
      <c r="G610" s="377"/>
      <c r="H610" s="372" t="s">
        <v>2165</v>
      </c>
      <c r="I610" s="373" t="s">
        <v>2165</v>
      </c>
      <c r="J610" s="374">
        <v>7094.97</v>
      </c>
      <c r="K610" s="378">
        <v>7001250844</v>
      </c>
      <c r="L610" s="379">
        <v>7.7274258645991674E-4</v>
      </c>
    </row>
    <row r="611" spans="1:12" ht="45" x14ac:dyDescent="0.25">
      <c r="A611" s="375" t="s">
        <v>1201</v>
      </c>
      <c r="B611" s="376" t="s">
        <v>1201</v>
      </c>
      <c r="C611" s="370" t="s">
        <v>2165</v>
      </c>
      <c r="D611" s="370" t="s">
        <v>2165</v>
      </c>
      <c r="E611" s="371" t="s">
        <v>1766</v>
      </c>
      <c r="F611" s="376" t="s">
        <v>23</v>
      </c>
      <c r="G611" s="377"/>
      <c r="H611" s="372" t="s">
        <v>2165</v>
      </c>
      <c r="I611" s="373" t="s">
        <v>2165</v>
      </c>
      <c r="J611" s="374">
        <v>9236.59</v>
      </c>
      <c r="K611" s="378">
        <v>7001250845</v>
      </c>
      <c r="L611" s="379">
        <v>7.8424312127593407E-4</v>
      </c>
    </row>
    <row r="612" spans="1:12" ht="45" x14ac:dyDescent="0.25">
      <c r="A612" s="375" t="s">
        <v>1202</v>
      </c>
      <c r="B612" s="376" t="s">
        <v>1202</v>
      </c>
      <c r="C612" s="370" t="s">
        <v>2165</v>
      </c>
      <c r="D612" s="370" t="s">
        <v>2165</v>
      </c>
      <c r="E612" s="371" t="s">
        <v>1767</v>
      </c>
      <c r="F612" s="376" t="s">
        <v>23</v>
      </c>
      <c r="G612" s="377"/>
      <c r="H612" s="372" t="s">
        <v>2165</v>
      </c>
      <c r="I612" s="373" t="s">
        <v>2165</v>
      </c>
      <c r="J612" s="374">
        <v>10425.019999999999</v>
      </c>
      <c r="K612" s="378">
        <v>7001250846</v>
      </c>
      <c r="L612" s="379">
        <v>7.8414266810999619E-4</v>
      </c>
    </row>
    <row r="613" spans="1:12" ht="45" x14ac:dyDescent="0.25">
      <c r="A613" s="375" t="s">
        <v>1203</v>
      </c>
      <c r="B613" s="376" t="s">
        <v>1203</v>
      </c>
      <c r="C613" s="370" t="s">
        <v>2165</v>
      </c>
      <c r="D613" s="370" t="s">
        <v>2165</v>
      </c>
      <c r="E613" s="371" t="s">
        <v>1768</v>
      </c>
      <c r="F613" s="376" t="s">
        <v>23</v>
      </c>
      <c r="G613" s="377"/>
      <c r="H613" s="372" t="s">
        <v>2165</v>
      </c>
      <c r="I613" s="373" t="s">
        <v>2165</v>
      </c>
      <c r="J613" s="374">
        <v>12400.230000000001</v>
      </c>
      <c r="K613" s="378">
        <v>7001250847</v>
      </c>
      <c r="L613" s="379">
        <v>7.8459216792374953E-4</v>
      </c>
    </row>
    <row r="614" spans="1:12" ht="45" x14ac:dyDescent="0.25">
      <c r="A614" s="375" t="s">
        <v>1204</v>
      </c>
      <c r="B614" s="376" t="s">
        <v>1204</v>
      </c>
      <c r="C614" s="370" t="s">
        <v>2165</v>
      </c>
      <c r="D614" s="370" t="s">
        <v>2165</v>
      </c>
      <c r="E614" s="371" t="s">
        <v>1769</v>
      </c>
      <c r="F614" s="376" t="s">
        <v>23</v>
      </c>
      <c r="G614" s="377"/>
      <c r="H614" s="372" t="s">
        <v>2165</v>
      </c>
      <c r="I614" s="373" t="s">
        <v>2165</v>
      </c>
      <c r="J614" s="374">
        <v>13249.650000000001</v>
      </c>
      <c r="K614" s="378">
        <v>7001250848</v>
      </c>
      <c r="L614" s="379">
        <v>8.6756717682164909E-4</v>
      </c>
    </row>
    <row r="615" spans="1:12" s="10" customFormat="1" ht="30" x14ac:dyDescent="0.25">
      <c r="A615" s="34" t="s">
        <v>1211</v>
      </c>
      <c r="B615" s="174" t="s">
        <v>2165</v>
      </c>
      <c r="C615" s="383" t="s">
        <v>2165</v>
      </c>
      <c r="D615" s="383" t="s">
        <v>2165</v>
      </c>
      <c r="E615" s="384" t="s">
        <v>1245</v>
      </c>
      <c r="F615" s="174"/>
      <c r="G615" s="175"/>
      <c r="H615" s="385" t="s">
        <v>2165</v>
      </c>
      <c r="I615" s="386" t="s">
        <v>2165</v>
      </c>
      <c r="J615" s="387" t="s">
        <v>2165</v>
      </c>
      <c r="K615" s="282" t="s">
        <v>2165</v>
      </c>
      <c r="L615" s="285" t="s">
        <v>2165</v>
      </c>
    </row>
    <row r="616" spans="1:12" s="10" customFormat="1" ht="45" x14ac:dyDescent="0.25">
      <c r="A616" s="375" t="s">
        <v>1212</v>
      </c>
      <c r="B616" s="376" t="s">
        <v>1212</v>
      </c>
      <c r="C616" s="370" t="s">
        <v>2165</v>
      </c>
      <c r="D616" s="370" t="s">
        <v>2165</v>
      </c>
      <c r="E616" s="371" t="s">
        <v>1770</v>
      </c>
      <c r="F616" s="376" t="s">
        <v>23</v>
      </c>
      <c r="G616" s="377"/>
      <c r="H616" s="372" t="s">
        <v>2165</v>
      </c>
      <c r="I616" s="373" t="s">
        <v>2165</v>
      </c>
      <c r="J616" s="374">
        <v>7410.35</v>
      </c>
      <c r="K616" s="378">
        <v>7001250849</v>
      </c>
      <c r="L616" s="379">
        <v>5.1278711941806811E-4</v>
      </c>
    </row>
    <row r="617" spans="1:12" s="10" customFormat="1" ht="60" x14ac:dyDescent="0.25">
      <c r="A617" s="375" t="s">
        <v>1213</v>
      </c>
      <c r="B617" s="376" t="s">
        <v>1213</v>
      </c>
      <c r="C617" s="370" t="s">
        <v>2165</v>
      </c>
      <c r="D617" s="370" t="s">
        <v>2165</v>
      </c>
      <c r="E617" s="371" t="s">
        <v>1771</v>
      </c>
      <c r="F617" s="376" t="s">
        <v>23</v>
      </c>
      <c r="G617" s="377"/>
      <c r="H617" s="372" t="s">
        <v>2165</v>
      </c>
      <c r="I617" s="373" t="s">
        <v>2165</v>
      </c>
      <c r="J617" s="374">
        <v>8787.36</v>
      </c>
      <c r="K617" s="378">
        <v>7001250850</v>
      </c>
      <c r="L617" s="379">
        <v>5.3405995849988063E-4</v>
      </c>
    </row>
    <row r="618" spans="1:12" s="10" customFormat="1" ht="45" x14ac:dyDescent="0.25">
      <c r="A618" s="375" t="s">
        <v>1214</v>
      </c>
      <c r="B618" s="376" t="s">
        <v>1214</v>
      </c>
      <c r="C618" s="370" t="s">
        <v>2165</v>
      </c>
      <c r="D618" s="370" t="s">
        <v>2165</v>
      </c>
      <c r="E618" s="371" t="s">
        <v>1772</v>
      </c>
      <c r="F618" s="376" t="s">
        <v>23</v>
      </c>
      <c r="G618" s="377"/>
      <c r="H618" s="372" t="s">
        <v>2165</v>
      </c>
      <c r="I618" s="373" t="s">
        <v>2165</v>
      </c>
      <c r="J618" s="374">
        <v>12725.800000000001</v>
      </c>
      <c r="K618" s="378">
        <v>7001250851</v>
      </c>
      <c r="L618" s="379">
        <v>5.9273107521126461E-4</v>
      </c>
    </row>
    <row r="619" spans="1:12" s="10" customFormat="1" ht="45" x14ac:dyDescent="0.25">
      <c r="A619" s="375" t="s">
        <v>1215</v>
      </c>
      <c r="B619" s="376" t="s">
        <v>1215</v>
      </c>
      <c r="C619" s="370" t="s">
        <v>2165</v>
      </c>
      <c r="D619" s="370" t="s">
        <v>2165</v>
      </c>
      <c r="E619" s="371" t="s">
        <v>1773</v>
      </c>
      <c r="F619" s="376" t="s">
        <v>23</v>
      </c>
      <c r="G619" s="377"/>
      <c r="H619" s="372" t="s">
        <v>2165</v>
      </c>
      <c r="I619" s="373" t="s">
        <v>2165</v>
      </c>
      <c r="J619" s="374">
        <v>13004.769999999999</v>
      </c>
      <c r="K619" s="378">
        <v>7001250852</v>
      </c>
      <c r="L619" s="379">
        <v>5.9462315248012506E-4</v>
      </c>
    </row>
    <row r="620" spans="1:12" s="10" customFormat="1" ht="45" x14ac:dyDescent="0.25">
      <c r="A620" s="375" t="s">
        <v>1216</v>
      </c>
      <c r="B620" s="376" t="s">
        <v>1216</v>
      </c>
      <c r="C620" s="370" t="s">
        <v>2165</v>
      </c>
      <c r="D620" s="370" t="s">
        <v>2165</v>
      </c>
      <c r="E620" s="371" t="s">
        <v>1774</v>
      </c>
      <c r="F620" s="376" t="s">
        <v>23</v>
      </c>
      <c r="G620" s="377"/>
      <c r="H620" s="372" t="s">
        <v>2165</v>
      </c>
      <c r="I620" s="373" t="s">
        <v>2165</v>
      </c>
      <c r="J620" s="374">
        <v>13292.380000000001</v>
      </c>
      <c r="K620" s="378">
        <v>7001250853</v>
      </c>
      <c r="L620" s="379">
        <v>5.9747966324167723E-4</v>
      </c>
    </row>
    <row r="621" spans="1:12" s="10" customFormat="1" ht="45" x14ac:dyDescent="0.25">
      <c r="A621" s="375" t="s">
        <v>1217</v>
      </c>
      <c r="B621" s="376" t="s">
        <v>1217</v>
      </c>
      <c r="C621" s="370" t="s">
        <v>2165</v>
      </c>
      <c r="D621" s="370" t="s">
        <v>2165</v>
      </c>
      <c r="E621" s="371" t="s">
        <v>1775</v>
      </c>
      <c r="F621" s="376" t="s">
        <v>23</v>
      </c>
      <c r="G621" s="377"/>
      <c r="H621" s="372" t="s">
        <v>2165</v>
      </c>
      <c r="I621" s="373" t="s">
        <v>2165</v>
      </c>
      <c r="J621" s="374">
        <v>13573.069999999996</v>
      </c>
      <c r="K621" s="378">
        <v>7001250854</v>
      </c>
      <c r="L621" s="379">
        <v>5.9912409260224697E-4</v>
      </c>
    </row>
    <row r="622" spans="1:12" s="10" customFormat="1" ht="83.25" customHeight="1" x14ac:dyDescent="0.25">
      <c r="A622" s="375" t="s">
        <v>1218</v>
      </c>
      <c r="B622" s="376" t="s">
        <v>1218</v>
      </c>
      <c r="C622" s="370" t="s">
        <v>2165</v>
      </c>
      <c r="D622" s="370" t="s">
        <v>2165</v>
      </c>
      <c r="E622" s="371" t="s">
        <v>1776</v>
      </c>
      <c r="F622" s="376" t="s">
        <v>23</v>
      </c>
      <c r="G622" s="377"/>
      <c r="H622" s="372" t="s">
        <v>2165</v>
      </c>
      <c r="I622" s="373" t="s">
        <v>2165</v>
      </c>
      <c r="J622" s="374">
        <v>13854.439999999999</v>
      </c>
      <c r="K622" s="378">
        <v>7001250855</v>
      </c>
      <c r="L622" s="379">
        <v>6.0067240314824342E-4</v>
      </c>
    </row>
    <row r="623" spans="1:12" s="10" customFormat="1" ht="45" x14ac:dyDescent="0.25">
      <c r="A623" s="375" t="s">
        <v>1219</v>
      </c>
      <c r="B623" s="376" t="s">
        <v>1219</v>
      </c>
      <c r="C623" s="370" t="s">
        <v>2165</v>
      </c>
      <c r="D623" s="370" t="s">
        <v>2165</v>
      </c>
      <c r="E623" s="371" t="s">
        <v>1777</v>
      </c>
      <c r="F623" s="376" t="s">
        <v>23</v>
      </c>
      <c r="G623" s="377"/>
      <c r="H623" s="372" t="s">
        <v>2165</v>
      </c>
      <c r="I623" s="373" t="s">
        <v>2165</v>
      </c>
      <c r="J623" s="374">
        <v>14136.560000000001</v>
      </c>
      <c r="K623" s="378">
        <v>7001250856</v>
      </c>
      <c r="L623" s="379">
        <v>6.021224390395253E-4</v>
      </c>
    </row>
    <row r="624" spans="1:12" s="10" customFormat="1" ht="45" x14ac:dyDescent="0.25">
      <c r="A624" s="375" t="s">
        <v>1220</v>
      </c>
      <c r="B624" s="376" t="s">
        <v>1220</v>
      </c>
      <c r="C624" s="370" t="s">
        <v>2165</v>
      </c>
      <c r="D624" s="370" t="s">
        <v>2165</v>
      </c>
      <c r="E624" s="371" t="s">
        <v>1778</v>
      </c>
      <c r="F624" s="376" t="s">
        <v>23</v>
      </c>
      <c r="G624" s="377"/>
      <c r="H624" s="372" t="s">
        <v>2165</v>
      </c>
      <c r="I624" s="373" t="s">
        <v>2165</v>
      </c>
      <c r="J624" s="374">
        <v>14419.559999999998</v>
      </c>
      <c r="K624" s="378">
        <v>7001250857</v>
      </c>
      <c r="L624" s="379">
        <v>6.034834979933482E-4</v>
      </c>
    </row>
    <row r="625" spans="1:12" s="10" customFormat="1" ht="45" x14ac:dyDescent="0.25">
      <c r="A625" s="375" t="s">
        <v>1221</v>
      </c>
      <c r="B625" s="376" t="s">
        <v>1221</v>
      </c>
      <c r="C625" s="370" t="s">
        <v>2165</v>
      </c>
      <c r="D625" s="370" t="s">
        <v>2165</v>
      </c>
      <c r="E625" s="371" t="s">
        <v>1779</v>
      </c>
      <c r="F625" s="376" t="s">
        <v>23</v>
      </c>
      <c r="G625" s="377"/>
      <c r="H625" s="372" t="s">
        <v>2165</v>
      </c>
      <c r="I625" s="373" t="s">
        <v>2165</v>
      </c>
      <c r="J625" s="374">
        <v>14703.269999999999</v>
      </c>
      <c r="K625" s="378">
        <v>7001250858</v>
      </c>
      <c r="L625" s="379">
        <v>6.0475844666393311E-4</v>
      </c>
    </row>
    <row r="626" spans="1:12" s="10" customFormat="1" x14ac:dyDescent="0.25">
      <c r="A626" s="34" t="s">
        <v>1222</v>
      </c>
      <c r="B626" s="174" t="s">
        <v>2165</v>
      </c>
      <c r="C626" s="383" t="s">
        <v>2165</v>
      </c>
      <c r="D626" s="383" t="s">
        <v>2165</v>
      </c>
      <c r="E626" s="384" t="s">
        <v>1223</v>
      </c>
      <c r="F626" s="174"/>
      <c r="G626" s="175"/>
      <c r="H626" s="385" t="s">
        <v>2165</v>
      </c>
      <c r="I626" s="386" t="s">
        <v>2165</v>
      </c>
      <c r="J626" s="387" t="s">
        <v>2165</v>
      </c>
      <c r="K626" s="282" t="s">
        <v>2165</v>
      </c>
      <c r="L626" s="285" t="s">
        <v>2165</v>
      </c>
    </row>
    <row r="627" spans="1:12" s="10" customFormat="1" ht="45" x14ac:dyDescent="0.25">
      <c r="A627" s="375" t="s">
        <v>1224</v>
      </c>
      <c r="B627" s="376" t="s">
        <v>1224</v>
      </c>
      <c r="C627" s="370" t="s">
        <v>2165</v>
      </c>
      <c r="D627" s="370" t="s">
        <v>2165</v>
      </c>
      <c r="E627" s="371" t="s">
        <v>1780</v>
      </c>
      <c r="F627" s="376" t="s">
        <v>23</v>
      </c>
      <c r="G627" s="377"/>
      <c r="H627" s="372" t="s">
        <v>2165</v>
      </c>
      <c r="I627" s="373" t="s">
        <v>2165</v>
      </c>
      <c r="J627" s="374">
        <v>14043.809999999998</v>
      </c>
      <c r="K627" s="378">
        <v>7001250859</v>
      </c>
      <c r="L627" s="379">
        <v>7.8197934896754337E-4</v>
      </c>
    </row>
    <row r="628" spans="1:12" s="10" customFormat="1" ht="45" x14ac:dyDescent="0.25">
      <c r="A628" s="375" t="s">
        <v>1225</v>
      </c>
      <c r="B628" s="376" t="s">
        <v>1225</v>
      </c>
      <c r="C628" s="370" t="s">
        <v>2165</v>
      </c>
      <c r="D628" s="370" t="s">
        <v>2165</v>
      </c>
      <c r="E628" s="371" t="s">
        <v>1781</v>
      </c>
      <c r="F628" s="376" t="s">
        <v>23</v>
      </c>
      <c r="G628" s="377"/>
      <c r="H628" s="372" t="s">
        <v>2165</v>
      </c>
      <c r="I628" s="373" t="s">
        <v>2165</v>
      </c>
      <c r="J628" s="374">
        <v>15732.949999999997</v>
      </c>
      <c r="K628" s="378">
        <v>7001250860</v>
      </c>
      <c r="L628" s="379">
        <v>7.9101258469485797E-4</v>
      </c>
    </row>
    <row r="629" spans="1:12" s="10" customFormat="1" ht="45" x14ac:dyDescent="0.25">
      <c r="A629" s="375" t="s">
        <v>1226</v>
      </c>
      <c r="B629" s="376" t="s">
        <v>1226</v>
      </c>
      <c r="C629" s="370" t="s">
        <v>2165</v>
      </c>
      <c r="D629" s="370" t="s">
        <v>2165</v>
      </c>
      <c r="E629" s="371" t="s">
        <v>1782</v>
      </c>
      <c r="F629" s="376" t="s">
        <v>23</v>
      </c>
      <c r="G629" s="377"/>
      <c r="H629" s="372" t="s">
        <v>2165</v>
      </c>
      <c r="I629" s="373" t="s">
        <v>2165</v>
      </c>
      <c r="J629" s="374">
        <v>21028</v>
      </c>
      <c r="K629" s="378">
        <v>7001250861</v>
      </c>
      <c r="L629" s="379">
        <v>7.4814387487273507E-4</v>
      </c>
    </row>
    <row r="630" spans="1:12" s="10" customFormat="1" ht="45" x14ac:dyDescent="0.25">
      <c r="A630" s="375" t="s">
        <v>1227</v>
      </c>
      <c r="B630" s="376" t="s">
        <v>1227</v>
      </c>
      <c r="C630" s="370" t="s">
        <v>2165</v>
      </c>
      <c r="D630" s="370" t="s">
        <v>2165</v>
      </c>
      <c r="E630" s="371" t="s">
        <v>1783</v>
      </c>
      <c r="F630" s="376" t="s">
        <v>23</v>
      </c>
      <c r="G630" s="377"/>
      <c r="H630" s="372" t="s">
        <v>2165</v>
      </c>
      <c r="I630" s="373" t="s">
        <v>2165</v>
      </c>
      <c r="J630" s="374">
        <v>21489.850000000002</v>
      </c>
      <c r="K630" s="378">
        <v>7001250862</v>
      </c>
      <c r="L630" s="379">
        <v>7.4886484876211812E-4</v>
      </c>
    </row>
    <row r="631" spans="1:12" s="10" customFormat="1" ht="45" x14ac:dyDescent="0.25">
      <c r="A631" s="375" t="s">
        <v>1228</v>
      </c>
      <c r="B631" s="376" t="s">
        <v>1228</v>
      </c>
      <c r="C631" s="370" t="s">
        <v>2165</v>
      </c>
      <c r="D631" s="370" t="s">
        <v>2165</v>
      </c>
      <c r="E631" s="371" t="s">
        <v>1784</v>
      </c>
      <c r="F631" s="376" t="s">
        <v>23</v>
      </c>
      <c r="G631" s="377"/>
      <c r="H631" s="372" t="s">
        <v>2165</v>
      </c>
      <c r="I631" s="373" t="s">
        <v>2165</v>
      </c>
      <c r="J631" s="374">
        <v>21952.800000000003</v>
      </c>
      <c r="K631" s="378">
        <v>7001250863</v>
      </c>
      <c r="L631" s="379">
        <v>7.4951490633433598E-4</v>
      </c>
    </row>
    <row r="632" spans="1:12" s="10" customFormat="1" ht="45" x14ac:dyDescent="0.25">
      <c r="A632" s="375" t="s">
        <v>1229</v>
      </c>
      <c r="B632" s="376" t="s">
        <v>1229</v>
      </c>
      <c r="C632" s="370" t="s">
        <v>2165</v>
      </c>
      <c r="D632" s="370" t="s">
        <v>2165</v>
      </c>
      <c r="E632" s="371" t="s">
        <v>1785</v>
      </c>
      <c r="F632" s="376" t="s">
        <v>23</v>
      </c>
      <c r="G632" s="377"/>
      <c r="H632" s="372" t="s">
        <v>2165</v>
      </c>
      <c r="I632" s="373" t="s">
        <v>2165</v>
      </c>
      <c r="J632" s="374">
        <v>22416.77</v>
      </c>
      <c r="K632" s="378">
        <v>7001250864</v>
      </c>
      <c r="L632" s="379">
        <v>7.5010693802555627E-4</v>
      </c>
    </row>
    <row r="633" spans="1:12" s="10" customFormat="1" ht="45" x14ac:dyDescent="0.25">
      <c r="A633" s="375" t="s">
        <v>1230</v>
      </c>
      <c r="B633" s="376" t="s">
        <v>1230</v>
      </c>
      <c r="C633" s="370" t="s">
        <v>2165</v>
      </c>
      <c r="D633" s="370" t="s">
        <v>2165</v>
      </c>
      <c r="E633" s="371" t="s">
        <v>1786</v>
      </c>
      <c r="F633" s="376" t="s">
        <v>23</v>
      </c>
      <c r="G633" s="377"/>
      <c r="H633" s="372" t="s">
        <v>2165</v>
      </c>
      <c r="I633" s="373" t="s">
        <v>2165</v>
      </c>
      <c r="J633" s="374">
        <v>23791.940000000002</v>
      </c>
      <c r="K633" s="378">
        <v>7001250865</v>
      </c>
      <c r="L633" s="379">
        <v>7.5306775653130858E-4</v>
      </c>
    </row>
    <row r="634" spans="1:12" s="10" customFormat="1" ht="45" x14ac:dyDescent="0.25">
      <c r="A634" s="375" t="s">
        <v>1231</v>
      </c>
      <c r="B634" s="376" t="s">
        <v>1231</v>
      </c>
      <c r="C634" s="370" t="s">
        <v>2165</v>
      </c>
      <c r="D634" s="370" t="s">
        <v>2165</v>
      </c>
      <c r="E634" s="371" t="s">
        <v>1787</v>
      </c>
      <c r="F634" s="376" t="s">
        <v>23</v>
      </c>
      <c r="G634" s="377"/>
      <c r="H634" s="372" t="s">
        <v>2165</v>
      </c>
      <c r="I634" s="373" t="s">
        <v>2165</v>
      </c>
      <c r="J634" s="374">
        <v>24257.940000000002</v>
      </c>
      <c r="K634" s="378">
        <v>7001250866</v>
      </c>
      <c r="L634" s="379">
        <v>7.5348387986260302E-4</v>
      </c>
    </row>
    <row r="635" spans="1:12" s="10" customFormat="1" ht="45" x14ac:dyDescent="0.25">
      <c r="A635" s="375" t="s">
        <v>1232</v>
      </c>
      <c r="B635" s="376" t="s">
        <v>1232</v>
      </c>
      <c r="C635" s="370" t="s">
        <v>2165</v>
      </c>
      <c r="D635" s="370" t="s">
        <v>2165</v>
      </c>
      <c r="E635" s="371" t="s">
        <v>1788</v>
      </c>
      <c r="F635" s="376" t="s">
        <v>23</v>
      </c>
      <c r="G635" s="377"/>
      <c r="H635" s="372" t="s">
        <v>2165</v>
      </c>
      <c r="I635" s="373" t="s">
        <v>2165</v>
      </c>
      <c r="J635" s="374">
        <v>24724.81</v>
      </c>
      <c r="K635" s="378">
        <v>7001250867</v>
      </c>
      <c r="L635" s="379">
        <v>7.5385778972703803E-4</v>
      </c>
    </row>
    <row r="636" spans="1:12" s="10" customFormat="1" ht="45" x14ac:dyDescent="0.25">
      <c r="A636" s="375" t="s">
        <v>1233</v>
      </c>
      <c r="B636" s="376" t="s">
        <v>1233</v>
      </c>
      <c r="C636" s="370" t="s">
        <v>2165</v>
      </c>
      <c r="D636" s="370" t="s">
        <v>2165</v>
      </c>
      <c r="E636" s="371" t="s">
        <v>1789</v>
      </c>
      <c r="F636" s="376" t="s">
        <v>23</v>
      </c>
      <c r="G636" s="377"/>
      <c r="H636" s="372" t="s">
        <v>2165</v>
      </c>
      <c r="I636" s="373" t="s">
        <v>2165</v>
      </c>
      <c r="J636" s="374">
        <v>25192.870000000003</v>
      </c>
      <c r="K636" s="378">
        <v>7001250868</v>
      </c>
      <c r="L636" s="379">
        <v>7.5417958270045354E-4</v>
      </c>
    </row>
    <row r="637" spans="1:12" s="10" customFormat="1" ht="30" x14ac:dyDescent="0.25">
      <c r="A637" s="34" t="s">
        <v>1234</v>
      </c>
      <c r="B637" s="174" t="s">
        <v>2165</v>
      </c>
      <c r="C637" s="383" t="s">
        <v>2165</v>
      </c>
      <c r="D637" s="383" t="s">
        <v>2165</v>
      </c>
      <c r="E637" s="384" t="s">
        <v>1263</v>
      </c>
      <c r="F637" s="174"/>
      <c r="G637" s="175"/>
      <c r="H637" s="385" t="s">
        <v>2165</v>
      </c>
      <c r="I637" s="386" t="s">
        <v>2165</v>
      </c>
      <c r="J637" s="387" t="s">
        <v>2165</v>
      </c>
      <c r="K637" s="282" t="s">
        <v>2165</v>
      </c>
      <c r="L637" s="285" t="s">
        <v>2165</v>
      </c>
    </row>
    <row r="638" spans="1:12" s="10" customFormat="1" ht="45" x14ac:dyDescent="0.25">
      <c r="A638" s="375" t="s">
        <v>1235</v>
      </c>
      <c r="B638" s="376" t="s">
        <v>1235</v>
      </c>
      <c r="C638" s="370" t="s">
        <v>2165</v>
      </c>
      <c r="D638" s="370" t="s">
        <v>2165</v>
      </c>
      <c r="E638" s="371" t="s">
        <v>1790</v>
      </c>
      <c r="F638" s="376" t="s">
        <v>23</v>
      </c>
      <c r="G638" s="377"/>
      <c r="H638" s="372" t="s">
        <v>2165</v>
      </c>
      <c r="I638" s="373" t="s">
        <v>2165</v>
      </c>
      <c r="J638" s="374">
        <v>11064.289999999999</v>
      </c>
      <c r="K638" s="378">
        <v>7001250869</v>
      </c>
      <c r="L638" s="379">
        <v>6.4086658813665366E-4</v>
      </c>
    </row>
    <row r="639" spans="1:12" s="10" customFormat="1" ht="45" x14ac:dyDescent="0.25">
      <c r="A639" s="375" t="s">
        <v>1236</v>
      </c>
      <c r="B639" s="376" t="s">
        <v>1236</v>
      </c>
      <c r="C639" s="370" t="s">
        <v>2165</v>
      </c>
      <c r="D639" s="370" t="s">
        <v>2165</v>
      </c>
      <c r="E639" s="371" t="s">
        <v>1791</v>
      </c>
      <c r="F639" s="376" t="s">
        <v>23</v>
      </c>
      <c r="G639" s="377"/>
      <c r="H639" s="372" t="s">
        <v>2165</v>
      </c>
      <c r="I639" s="373" t="s">
        <v>2165</v>
      </c>
      <c r="J639" s="374">
        <v>10046.539999999999</v>
      </c>
      <c r="K639" s="378">
        <v>7001250870</v>
      </c>
      <c r="L639" s="379">
        <v>6.3203744548838458E-4</v>
      </c>
    </row>
    <row r="640" spans="1:12" s="10" customFormat="1" x14ac:dyDescent="0.25">
      <c r="A640" s="34" t="s">
        <v>1239</v>
      </c>
      <c r="B640" s="174" t="s">
        <v>2165</v>
      </c>
      <c r="C640" s="383" t="s">
        <v>2165</v>
      </c>
      <c r="D640" s="383" t="s">
        <v>2165</v>
      </c>
      <c r="E640" s="384" t="s">
        <v>1240</v>
      </c>
      <c r="F640" s="174"/>
      <c r="G640" s="175"/>
      <c r="H640" s="385" t="s">
        <v>2165</v>
      </c>
      <c r="I640" s="386" t="s">
        <v>2165</v>
      </c>
      <c r="J640" s="387" t="s">
        <v>2165</v>
      </c>
      <c r="K640" s="282" t="s">
        <v>2165</v>
      </c>
      <c r="L640" s="285" t="s">
        <v>2165</v>
      </c>
    </row>
    <row r="641" spans="1:12" s="10" customFormat="1" ht="45" x14ac:dyDescent="0.25">
      <c r="A641" s="375" t="s">
        <v>1237</v>
      </c>
      <c r="B641" s="376" t="s">
        <v>1237</v>
      </c>
      <c r="C641" s="370" t="s">
        <v>2165</v>
      </c>
      <c r="D641" s="370" t="s">
        <v>2165</v>
      </c>
      <c r="E641" s="371" t="s">
        <v>1792</v>
      </c>
      <c r="F641" s="376" t="s">
        <v>23</v>
      </c>
      <c r="G641" s="377"/>
      <c r="H641" s="372" t="s">
        <v>2165</v>
      </c>
      <c r="I641" s="373" t="s">
        <v>2165</v>
      </c>
      <c r="J641" s="374">
        <v>19180.949999999997</v>
      </c>
      <c r="K641" s="378">
        <v>7001250871</v>
      </c>
      <c r="L641" s="379">
        <v>7.6174392055521295E-4</v>
      </c>
    </row>
    <row r="642" spans="1:12" s="10" customFormat="1" ht="45" x14ac:dyDescent="0.25">
      <c r="A642" s="375" t="s">
        <v>1238</v>
      </c>
      <c r="B642" s="376" t="s">
        <v>1238</v>
      </c>
      <c r="C642" s="370" t="s">
        <v>2165</v>
      </c>
      <c r="D642" s="370" t="s">
        <v>2165</v>
      </c>
      <c r="E642" s="371" t="s">
        <v>1793</v>
      </c>
      <c r="F642" s="376" t="s">
        <v>23</v>
      </c>
      <c r="G642" s="377"/>
      <c r="H642" s="372" t="s">
        <v>2165</v>
      </c>
      <c r="I642" s="373" t="s">
        <v>2165</v>
      </c>
      <c r="J642" s="374">
        <v>17412.329999999998</v>
      </c>
      <c r="K642" s="378">
        <v>7001250872</v>
      </c>
      <c r="L642" s="379">
        <v>7.5618500679274425E-4</v>
      </c>
    </row>
    <row r="643" spans="1:12" s="10" customFormat="1" x14ac:dyDescent="0.25">
      <c r="A643" s="34">
        <v>74</v>
      </c>
      <c r="B643" s="174" t="s">
        <v>2165</v>
      </c>
      <c r="C643" s="383" t="s">
        <v>2165</v>
      </c>
      <c r="D643" s="383" t="s">
        <v>2165</v>
      </c>
      <c r="E643" s="384" t="s">
        <v>564</v>
      </c>
      <c r="F643" s="174"/>
      <c r="G643" s="175"/>
      <c r="H643" s="385" t="s">
        <v>2165</v>
      </c>
      <c r="I643" s="386" t="s">
        <v>2165</v>
      </c>
      <c r="J643" s="387" t="s">
        <v>2165</v>
      </c>
      <c r="K643" s="282" t="s">
        <v>2165</v>
      </c>
      <c r="L643" s="285" t="s">
        <v>2165</v>
      </c>
    </row>
    <row r="644" spans="1:12" x14ac:dyDescent="0.25">
      <c r="A644" s="375" t="s">
        <v>844</v>
      </c>
      <c r="B644" s="376" t="s">
        <v>844</v>
      </c>
      <c r="C644" s="370" t="s">
        <v>2165</v>
      </c>
      <c r="D644" s="370" t="s">
        <v>2165</v>
      </c>
      <c r="E644" s="371" t="s">
        <v>1794</v>
      </c>
      <c r="F644" s="376" t="s">
        <v>20</v>
      </c>
      <c r="G644" s="377"/>
      <c r="H644" s="372" t="s">
        <v>2165</v>
      </c>
      <c r="I644" s="373" t="s">
        <v>2165</v>
      </c>
      <c r="J644" s="374">
        <v>5.12</v>
      </c>
      <c r="K644" s="378">
        <v>7001260001</v>
      </c>
      <c r="L644" s="379">
        <v>0.23413594415436673</v>
      </c>
    </row>
    <row r="645" spans="1:12" x14ac:dyDescent="0.25">
      <c r="A645" s="375" t="s">
        <v>845</v>
      </c>
      <c r="B645" s="376" t="s">
        <v>845</v>
      </c>
      <c r="C645" s="370" t="s">
        <v>2165</v>
      </c>
      <c r="D645" s="370" t="s">
        <v>2165</v>
      </c>
      <c r="E645" s="371" t="s">
        <v>1795</v>
      </c>
      <c r="F645" s="376" t="s">
        <v>20</v>
      </c>
      <c r="G645" s="377"/>
      <c r="H645" s="372" t="s">
        <v>2165</v>
      </c>
      <c r="I645" s="373" t="s">
        <v>2165</v>
      </c>
      <c r="J645" s="374">
        <v>5.01</v>
      </c>
      <c r="K645" s="378">
        <v>7001260002</v>
      </c>
      <c r="L645" s="379">
        <v>0.23927665350705743</v>
      </c>
    </row>
    <row r="646" spans="1:12" x14ac:dyDescent="0.25">
      <c r="A646" s="375" t="s">
        <v>846</v>
      </c>
      <c r="B646" s="376" t="s">
        <v>846</v>
      </c>
      <c r="C646" s="370" t="s">
        <v>2165</v>
      </c>
      <c r="D646" s="370" t="s">
        <v>2165</v>
      </c>
      <c r="E646" s="371" t="s">
        <v>1796</v>
      </c>
      <c r="F646" s="376" t="s">
        <v>29</v>
      </c>
      <c r="G646" s="377"/>
      <c r="H646" s="372" t="s">
        <v>2165</v>
      </c>
      <c r="I646" s="373" t="s">
        <v>2165</v>
      </c>
      <c r="J646" s="374">
        <v>8.2700000000000014</v>
      </c>
      <c r="K646" s="378">
        <v>7001381175</v>
      </c>
      <c r="L646" s="379">
        <v>9.1528182716564654E-2</v>
      </c>
    </row>
    <row r="647" spans="1:12" s="10" customFormat="1" x14ac:dyDescent="0.25">
      <c r="A647" s="34">
        <v>75</v>
      </c>
      <c r="B647" s="174" t="s">
        <v>2165</v>
      </c>
      <c r="C647" s="383" t="s">
        <v>2165</v>
      </c>
      <c r="D647" s="383" t="s">
        <v>2165</v>
      </c>
      <c r="E647" s="384" t="s">
        <v>565</v>
      </c>
      <c r="F647" s="174"/>
      <c r="G647" s="175"/>
      <c r="H647" s="385" t="s">
        <v>2165</v>
      </c>
      <c r="I647" s="386" t="s">
        <v>2165</v>
      </c>
      <c r="J647" s="387" t="s">
        <v>2165</v>
      </c>
      <c r="K647" s="282" t="s">
        <v>2165</v>
      </c>
      <c r="L647" s="285" t="s">
        <v>2165</v>
      </c>
    </row>
    <row r="648" spans="1:12" x14ac:dyDescent="0.25">
      <c r="A648" s="375" t="s">
        <v>847</v>
      </c>
      <c r="B648" s="376" t="s">
        <v>847</v>
      </c>
      <c r="C648" s="370" t="s">
        <v>2165</v>
      </c>
      <c r="D648" s="370" t="s">
        <v>2165</v>
      </c>
      <c r="E648" s="371" t="s">
        <v>1797</v>
      </c>
      <c r="F648" s="376" t="s">
        <v>20</v>
      </c>
      <c r="G648" s="377"/>
      <c r="H648" s="372" t="s">
        <v>2165</v>
      </c>
      <c r="I648" s="373" t="s">
        <v>2165</v>
      </c>
      <c r="J648" s="374">
        <v>0.69</v>
      </c>
      <c r="K648" s="378">
        <v>7001260042</v>
      </c>
      <c r="L648" s="379">
        <v>0</v>
      </c>
    </row>
    <row r="649" spans="1:12" x14ac:dyDescent="0.25">
      <c r="A649" s="375" t="s">
        <v>848</v>
      </c>
      <c r="B649" s="376" t="s">
        <v>848</v>
      </c>
      <c r="C649" s="370" t="s">
        <v>2165</v>
      </c>
      <c r="D649" s="370" t="s">
        <v>2165</v>
      </c>
      <c r="E649" s="371" t="s">
        <v>1798</v>
      </c>
      <c r="F649" s="376" t="s">
        <v>20</v>
      </c>
      <c r="G649" s="377"/>
      <c r="H649" s="372" t="s">
        <v>2165</v>
      </c>
      <c r="I649" s="373" t="s">
        <v>2165</v>
      </c>
      <c r="J649" s="374">
        <v>1.05</v>
      </c>
      <c r="K649" s="378">
        <v>7001260043</v>
      </c>
      <c r="L649" s="379">
        <v>0</v>
      </c>
    </row>
    <row r="650" spans="1:12" s="10" customFormat="1" x14ac:dyDescent="0.25">
      <c r="A650" s="34">
        <v>76</v>
      </c>
      <c r="B650" s="174" t="s">
        <v>2165</v>
      </c>
      <c r="C650" s="383" t="s">
        <v>2165</v>
      </c>
      <c r="D650" s="383" t="s">
        <v>2165</v>
      </c>
      <c r="E650" s="384" t="s">
        <v>566</v>
      </c>
      <c r="F650" s="174"/>
      <c r="G650" s="175"/>
      <c r="H650" s="385" t="s">
        <v>2165</v>
      </c>
      <c r="I650" s="386" t="s">
        <v>2165</v>
      </c>
      <c r="J650" s="387" t="s">
        <v>2165</v>
      </c>
      <c r="K650" s="282" t="s">
        <v>2165</v>
      </c>
      <c r="L650" s="285" t="s">
        <v>2165</v>
      </c>
    </row>
    <row r="651" spans="1:12" s="10" customFormat="1" x14ac:dyDescent="0.25">
      <c r="A651" s="34" t="s">
        <v>1259</v>
      </c>
      <c r="B651" s="174" t="s">
        <v>2165</v>
      </c>
      <c r="C651" s="383" t="s">
        <v>2165</v>
      </c>
      <c r="D651" s="383" t="s">
        <v>2165</v>
      </c>
      <c r="E651" s="384" t="s">
        <v>1260</v>
      </c>
      <c r="F651" s="174"/>
      <c r="G651" s="175"/>
      <c r="H651" s="385" t="s">
        <v>2165</v>
      </c>
      <c r="I651" s="386" t="s">
        <v>2165</v>
      </c>
      <c r="J651" s="387" t="s">
        <v>2165</v>
      </c>
      <c r="K651" s="282" t="s">
        <v>2165</v>
      </c>
      <c r="L651" s="285" t="s">
        <v>2165</v>
      </c>
    </row>
    <row r="652" spans="1:12" ht="30" x14ac:dyDescent="0.25">
      <c r="A652" s="375" t="s">
        <v>849</v>
      </c>
      <c r="B652" s="376" t="s">
        <v>849</v>
      </c>
      <c r="C652" s="370" t="s">
        <v>2165</v>
      </c>
      <c r="D652" s="370" t="s">
        <v>2165</v>
      </c>
      <c r="E652" s="371" t="s">
        <v>1799</v>
      </c>
      <c r="F652" s="376" t="s">
        <v>23</v>
      </c>
      <c r="G652" s="377"/>
      <c r="H652" s="372" t="s">
        <v>2165</v>
      </c>
      <c r="I652" s="373" t="s">
        <v>2165</v>
      </c>
      <c r="J652" s="374">
        <v>989.33</v>
      </c>
      <c r="K652" s="378">
        <v>7001260005</v>
      </c>
      <c r="L652" s="379">
        <v>3.0057567970786066E-2</v>
      </c>
    </row>
    <row r="653" spans="1:12" ht="30" x14ac:dyDescent="0.25">
      <c r="A653" s="375" t="s">
        <v>1298</v>
      </c>
      <c r="B653" s="376" t="s">
        <v>1298</v>
      </c>
      <c r="C653" s="370" t="s">
        <v>2165</v>
      </c>
      <c r="D653" s="370" t="s">
        <v>2165</v>
      </c>
      <c r="E653" s="371" t="s">
        <v>1800</v>
      </c>
      <c r="F653" s="376" t="s">
        <v>23</v>
      </c>
      <c r="G653" s="377"/>
      <c r="H653" s="372" t="s">
        <v>2165</v>
      </c>
      <c r="I653" s="373" t="s">
        <v>2165</v>
      </c>
      <c r="J653" s="374">
        <v>352.12</v>
      </c>
      <c r="K653" s="378">
        <v>7001260006</v>
      </c>
      <c r="L653" s="379">
        <v>7.676360331705101E-2</v>
      </c>
    </row>
    <row r="654" spans="1:12" s="10" customFormat="1" x14ac:dyDescent="0.25">
      <c r="A654" s="34" t="s">
        <v>1261</v>
      </c>
      <c r="B654" s="174" t="s">
        <v>2165</v>
      </c>
      <c r="C654" s="383" t="s">
        <v>2165</v>
      </c>
      <c r="D654" s="383" t="s">
        <v>2165</v>
      </c>
      <c r="E654" s="384" t="s">
        <v>1262</v>
      </c>
      <c r="F654" s="174"/>
      <c r="G654" s="175"/>
      <c r="H654" s="385" t="s">
        <v>2165</v>
      </c>
      <c r="I654" s="386" t="s">
        <v>2165</v>
      </c>
      <c r="J654" s="387" t="s">
        <v>2165</v>
      </c>
      <c r="K654" s="282" t="s">
        <v>2165</v>
      </c>
      <c r="L654" s="285" t="s">
        <v>2165</v>
      </c>
    </row>
    <row r="655" spans="1:12" ht="60" x14ac:dyDescent="0.25">
      <c r="A655" s="375" t="s">
        <v>850</v>
      </c>
      <c r="B655" s="376" t="s">
        <v>850</v>
      </c>
      <c r="C655" s="370" t="s">
        <v>2165</v>
      </c>
      <c r="D655" s="370" t="s">
        <v>2165</v>
      </c>
      <c r="E655" s="371" t="s">
        <v>1801</v>
      </c>
      <c r="F655" s="376" t="s">
        <v>29</v>
      </c>
      <c r="G655" s="377"/>
      <c r="H655" s="372" t="s">
        <v>2165</v>
      </c>
      <c r="I655" s="373" t="s">
        <v>2165</v>
      </c>
      <c r="J655" s="374">
        <v>1.1100000000000001</v>
      </c>
      <c r="K655" s="378">
        <v>7001690036</v>
      </c>
      <c r="L655" s="379">
        <v>4.5045045045045043E-2</v>
      </c>
    </row>
    <row r="656" spans="1:12" s="182" customFormat="1" ht="60" x14ac:dyDescent="0.25">
      <c r="A656" s="375" t="s">
        <v>2042</v>
      </c>
      <c r="B656" s="376" t="s">
        <v>2042</v>
      </c>
      <c r="C656" s="370" t="s">
        <v>2165</v>
      </c>
      <c r="D656" s="370" t="s">
        <v>2165</v>
      </c>
      <c r="E656" s="371" t="s">
        <v>2041</v>
      </c>
      <c r="F656" s="376" t="s">
        <v>23</v>
      </c>
      <c r="G656" s="377"/>
      <c r="H656" s="372" t="s">
        <v>2165</v>
      </c>
      <c r="I656" s="373" t="s">
        <v>2165</v>
      </c>
      <c r="J656" s="374">
        <v>2226.4899999999998</v>
      </c>
      <c r="K656" s="378">
        <v>7001690065</v>
      </c>
      <c r="L656" s="379">
        <v>4.7177395811344322E-2</v>
      </c>
    </row>
    <row r="657" spans="1:12" ht="60" x14ac:dyDescent="0.25">
      <c r="A657" s="375" t="s">
        <v>851</v>
      </c>
      <c r="B657" s="376" t="s">
        <v>851</v>
      </c>
      <c r="C657" s="370" t="s">
        <v>2165</v>
      </c>
      <c r="D657" s="370" t="s">
        <v>2165</v>
      </c>
      <c r="E657" s="371" t="s">
        <v>1802</v>
      </c>
      <c r="F657" s="376" t="s">
        <v>23</v>
      </c>
      <c r="G657" s="377"/>
      <c r="H657" s="372" t="s">
        <v>2165</v>
      </c>
      <c r="I657" s="373" t="s">
        <v>2165</v>
      </c>
      <c r="J657" s="374">
        <v>2310.2999999999997</v>
      </c>
      <c r="K657" s="378">
        <v>7001690040</v>
      </c>
      <c r="L657" s="379">
        <v>4.5799246851058309E-2</v>
      </c>
    </row>
    <row r="658" spans="1:12" ht="60" x14ac:dyDescent="0.25">
      <c r="A658" s="375" t="s">
        <v>852</v>
      </c>
      <c r="B658" s="376" t="s">
        <v>852</v>
      </c>
      <c r="C658" s="370" t="s">
        <v>2165</v>
      </c>
      <c r="D658" s="370" t="s">
        <v>2165</v>
      </c>
      <c r="E658" s="371" t="s">
        <v>1803</v>
      </c>
      <c r="F658" s="376" t="s">
        <v>1975</v>
      </c>
      <c r="G658" s="377"/>
      <c r="H658" s="372" t="s">
        <v>2165</v>
      </c>
      <c r="I658" s="373" t="s">
        <v>2165</v>
      </c>
      <c r="J658" s="374">
        <v>1925.26</v>
      </c>
      <c r="K658" s="378">
        <v>7001690041</v>
      </c>
      <c r="L658" s="379">
        <v>4.5796411913196139E-2</v>
      </c>
    </row>
    <row r="659" spans="1:12" ht="60" x14ac:dyDescent="0.25">
      <c r="A659" s="375" t="s">
        <v>853</v>
      </c>
      <c r="B659" s="376" t="s">
        <v>853</v>
      </c>
      <c r="C659" s="370" t="s">
        <v>2165</v>
      </c>
      <c r="D659" s="370" t="s">
        <v>2165</v>
      </c>
      <c r="E659" s="371" t="s">
        <v>1804</v>
      </c>
      <c r="F659" s="376" t="s">
        <v>28</v>
      </c>
      <c r="G659" s="377"/>
      <c r="H659" s="372" t="s">
        <v>2165</v>
      </c>
      <c r="I659" s="373" t="s">
        <v>2165</v>
      </c>
      <c r="J659" s="374">
        <v>3807.8700000000003</v>
      </c>
      <c r="K659" s="378">
        <v>7001690042</v>
      </c>
      <c r="L659" s="379">
        <v>3.47333286062812E-2</v>
      </c>
    </row>
    <row r="660" spans="1:12" s="10" customFormat="1" x14ac:dyDescent="0.25">
      <c r="A660" s="34">
        <v>77</v>
      </c>
      <c r="B660" s="174" t="s">
        <v>2165</v>
      </c>
      <c r="C660" s="383" t="s">
        <v>2165</v>
      </c>
      <c r="D660" s="383" t="s">
        <v>2165</v>
      </c>
      <c r="E660" s="384" t="s">
        <v>567</v>
      </c>
      <c r="F660" s="174"/>
      <c r="G660" s="175"/>
      <c r="H660" s="385" t="s">
        <v>2165</v>
      </c>
      <c r="I660" s="386" t="s">
        <v>2165</v>
      </c>
      <c r="J660" s="387" t="s">
        <v>2165</v>
      </c>
      <c r="K660" s="282" t="s">
        <v>2165</v>
      </c>
      <c r="L660" s="285" t="s">
        <v>2165</v>
      </c>
    </row>
    <row r="661" spans="1:12" s="10" customFormat="1" x14ac:dyDescent="0.25">
      <c r="A661" s="34" t="s">
        <v>1106</v>
      </c>
      <c r="B661" s="174" t="s">
        <v>2165</v>
      </c>
      <c r="C661" s="383" t="s">
        <v>2165</v>
      </c>
      <c r="D661" s="383" t="s">
        <v>2165</v>
      </c>
      <c r="E661" s="384" t="s">
        <v>569</v>
      </c>
      <c r="F661" s="174"/>
      <c r="G661" s="175"/>
      <c r="H661" s="385" t="s">
        <v>2165</v>
      </c>
      <c r="I661" s="386" t="s">
        <v>2165</v>
      </c>
      <c r="J661" s="387" t="s">
        <v>2165</v>
      </c>
      <c r="K661" s="282" t="s">
        <v>2165</v>
      </c>
      <c r="L661" s="285" t="s">
        <v>2165</v>
      </c>
    </row>
    <row r="662" spans="1:12" ht="45" x14ac:dyDescent="0.25">
      <c r="A662" s="375" t="s">
        <v>1299</v>
      </c>
      <c r="B662" s="376" t="s">
        <v>1299</v>
      </c>
      <c r="C662" s="370" t="s">
        <v>2165</v>
      </c>
      <c r="D662" s="370" t="s">
        <v>2165</v>
      </c>
      <c r="E662" s="371" t="s">
        <v>1805</v>
      </c>
      <c r="F662" s="376" t="s">
        <v>23</v>
      </c>
      <c r="G662" s="377"/>
      <c r="H662" s="372" t="s">
        <v>2165</v>
      </c>
      <c r="I662" s="373" t="s">
        <v>2165</v>
      </c>
      <c r="J662" s="374">
        <v>365.35</v>
      </c>
      <c r="K662" s="378">
        <v>7001270002</v>
      </c>
      <c r="L662" s="379">
        <v>0</v>
      </c>
    </row>
    <row r="663" spans="1:12" ht="30" x14ac:dyDescent="0.25">
      <c r="A663" s="375" t="s">
        <v>1300</v>
      </c>
      <c r="B663" s="376" t="s">
        <v>1300</v>
      </c>
      <c r="C663" s="370" t="s">
        <v>2165</v>
      </c>
      <c r="D663" s="370" t="s">
        <v>2165</v>
      </c>
      <c r="E663" s="371" t="s">
        <v>1806</v>
      </c>
      <c r="F663" s="376" t="s">
        <v>23</v>
      </c>
      <c r="G663" s="377"/>
      <c r="H663" s="372" t="s">
        <v>2165</v>
      </c>
      <c r="I663" s="373" t="s">
        <v>2165</v>
      </c>
      <c r="J663" s="374">
        <v>297.92</v>
      </c>
      <c r="K663" s="378">
        <v>7001270003</v>
      </c>
      <c r="L663" s="379">
        <v>0</v>
      </c>
    </row>
    <row r="664" spans="1:12" x14ac:dyDescent="0.25">
      <c r="A664" s="375" t="s">
        <v>1301</v>
      </c>
      <c r="B664" s="376" t="s">
        <v>1301</v>
      </c>
      <c r="C664" s="370" t="s">
        <v>2165</v>
      </c>
      <c r="D664" s="370" t="s">
        <v>2165</v>
      </c>
      <c r="E664" s="371" t="s">
        <v>1807</v>
      </c>
      <c r="F664" s="376" t="s">
        <v>23</v>
      </c>
      <c r="G664" s="377"/>
      <c r="H664" s="372" t="s">
        <v>2165</v>
      </c>
      <c r="I664" s="373" t="s">
        <v>2165</v>
      </c>
      <c r="J664" s="374">
        <v>61.76</v>
      </c>
      <c r="K664" s="378">
        <v>7001270004</v>
      </c>
      <c r="L664" s="379">
        <v>0</v>
      </c>
    </row>
    <row r="665" spans="1:12" x14ac:dyDescent="0.25">
      <c r="A665" s="375" t="s">
        <v>1302</v>
      </c>
      <c r="B665" s="376" t="s">
        <v>1302</v>
      </c>
      <c r="C665" s="370" t="s">
        <v>2165</v>
      </c>
      <c r="D665" s="370" t="s">
        <v>2165</v>
      </c>
      <c r="E665" s="371" t="s">
        <v>1808</v>
      </c>
      <c r="F665" s="376" t="s">
        <v>23</v>
      </c>
      <c r="G665" s="377"/>
      <c r="H665" s="372" t="s">
        <v>2165</v>
      </c>
      <c r="I665" s="373" t="s">
        <v>2165</v>
      </c>
      <c r="J665" s="374">
        <v>20.95</v>
      </c>
      <c r="K665" s="378">
        <v>7001270006</v>
      </c>
      <c r="L665" s="379">
        <v>0</v>
      </c>
    </row>
    <row r="666" spans="1:12" ht="30" x14ac:dyDescent="0.25">
      <c r="A666" s="375" t="s">
        <v>1303</v>
      </c>
      <c r="B666" s="376" t="s">
        <v>1303</v>
      </c>
      <c r="C666" s="370" t="s">
        <v>2165</v>
      </c>
      <c r="D666" s="370" t="s">
        <v>2165</v>
      </c>
      <c r="E666" s="371" t="s">
        <v>1809</v>
      </c>
      <c r="F666" s="376" t="s">
        <v>23</v>
      </c>
      <c r="G666" s="377"/>
      <c r="H666" s="372" t="s">
        <v>2165</v>
      </c>
      <c r="I666" s="373" t="s">
        <v>2165</v>
      </c>
      <c r="J666" s="374">
        <v>389.99999999999994</v>
      </c>
      <c r="K666" s="378">
        <v>7001270001</v>
      </c>
      <c r="L666" s="379">
        <v>0</v>
      </c>
    </row>
    <row r="667" spans="1:12" x14ac:dyDescent="0.25">
      <c r="A667" s="375" t="s">
        <v>854</v>
      </c>
      <c r="B667" s="376" t="s">
        <v>854</v>
      </c>
      <c r="C667" s="370" t="s">
        <v>2165</v>
      </c>
      <c r="D667" s="370" t="s">
        <v>2165</v>
      </c>
      <c r="E667" s="371" t="s">
        <v>1810</v>
      </c>
      <c r="F667" s="376" t="s">
        <v>20</v>
      </c>
      <c r="G667" s="377"/>
      <c r="H667" s="372" t="s">
        <v>2165</v>
      </c>
      <c r="I667" s="373" t="s">
        <v>2165</v>
      </c>
      <c r="J667" s="374">
        <v>1474.45</v>
      </c>
      <c r="K667" s="378">
        <v>7001590410</v>
      </c>
      <c r="L667" s="379">
        <v>0</v>
      </c>
    </row>
    <row r="668" spans="1:12" x14ac:dyDescent="0.25">
      <c r="A668" s="375" t="s">
        <v>855</v>
      </c>
      <c r="B668" s="376" t="s">
        <v>855</v>
      </c>
      <c r="C668" s="370" t="s">
        <v>2165</v>
      </c>
      <c r="D668" s="370" t="s">
        <v>2165</v>
      </c>
      <c r="E668" s="371" t="s">
        <v>1811</v>
      </c>
      <c r="F668" s="376" t="s">
        <v>23</v>
      </c>
      <c r="G668" s="377"/>
      <c r="H668" s="372" t="s">
        <v>2165</v>
      </c>
      <c r="I668" s="373" t="s">
        <v>2165</v>
      </c>
      <c r="J668" s="374">
        <v>719.6</v>
      </c>
      <c r="K668" s="378">
        <v>7001590411</v>
      </c>
      <c r="L668" s="379">
        <v>0</v>
      </c>
    </row>
    <row r="669" spans="1:12" x14ac:dyDescent="0.25">
      <c r="A669" s="375" t="s">
        <v>856</v>
      </c>
      <c r="B669" s="376" t="s">
        <v>856</v>
      </c>
      <c r="C669" s="370" t="s">
        <v>2165</v>
      </c>
      <c r="D669" s="370" t="s">
        <v>2165</v>
      </c>
      <c r="E669" s="371" t="s">
        <v>1812</v>
      </c>
      <c r="F669" s="376" t="s">
        <v>23</v>
      </c>
      <c r="G669" s="377"/>
      <c r="H669" s="372" t="s">
        <v>2165</v>
      </c>
      <c r="I669" s="373" t="s">
        <v>2165</v>
      </c>
      <c r="J669" s="374">
        <v>538.33000000000004</v>
      </c>
      <c r="K669" s="378">
        <v>7001590412</v>
      </c>
      <c r="L669" s="379">
        <v>0</v>
      </c>
    </row>
    <row r="670" spans="1:12" ht="45" x14ac:dyDescent="0.25">
      <c r="A670" s="375" t="s">
        <v>857</v>
      </c>
      <c r="B670" s="376" t="s">
        <v>857</v>
      </c>
      <c r="C670" s="370" t="s">
        <v>2165</v>
      </c>
      <c r="D670" s="370" t="s">
        <v>2165</v>
      </c>
      <c r="E670" s="371" t="s">
        <v>1813</v>
      </c>
      <c r="F670" s="376" t="s">
        <v>23</v>
      </c>
      <c r="G670" s="377"/>
      <c r="H670" s="372" t="s">
        <v>2165</v>
      </c>
      <c r="I670" s="373" t="s">
        <v>2165</v>
      </c>
      <c r="J670" s="374">
        <v>249</v>
      </c>
      <c r="K670" s="378">
        <v>7001590462</v>
      </c>
      <c r="L670" s="379">
        <v>0</v>
      </c>
    </row>
    <row r="671" spans="1:12" s="10" customFormat="1" x14ac:dyDescent="0.25">
      <c r="A671" s="34" t="s">
        <v>1107</v>
      </c>
      <c r="B671" s="174" t="s">
        <v>2165</v>
      </c>
      <c r="C671" s="383" t="s">
        <v>2165</v>
      </c>
      <c r="D671" s="383" t="s">
        <v>2165</v>
      </c>
      <c r="E671" s="384" t="s">
        <v>571</v>
      </c>
      <c r="F671" s="174"/>
      <c r="G671" s="175"/>
      <c r="H671" s="385" t="s">
        <v>2165</v>
      </c>
      <c r="I671" s="386" t="s">
        <v>2165</v>
      </c>
      <c r="J671" s="387" t="s">
        <v>2165</v>
      </c>
      <c r="K671" s="282" t="s">
        <v>2165</v>
      </c>
      <c r="L671" s="285" t="s">
        <v>2165</v>
      </c>
    </row>
    <row r="672" spans="1:12" ht="30" x14ac:dyDescent="0.25">
      <c r="A672" s="375" t="s">
        <v>1304</v>
      </c>
      <c r="B672" s="376" t="s">
        <v>1304</v>
      </c>
      <c r="C672" s="370" t="s">
        <v>2165</v>
      </c>
      <c r="D672" s="370" t="s">
        <v>2165</v>
      </c>
      <c r="E672" s="371" t="s">
        <v>1814</v>
      </c>
      <c r="F672" s="376" t="s">
        <v>23</v>
      </c>
      <c r="G672" s="377"/>
      <c r="H672" s="372" t="s">
        <v>2165</v>
      </c>
      <c r="I672" s="373" t="s">
        <v>2165</v>
      </c>
      <c r="J672" s="374">
        <v>129.87</v>
      </c>
      <c r="K672" s="378">
        <v>7001270007</v>
      </c>
      <c r="L672" s="379">
        <v>0</v>
      </c>
    </row>
    <row r="673" spans="1:12" ht="30" x14ac:dyDescent="0.25">
      <c r="A673" s="375" t="s">
        <v>1305</v>
      </c>
      <c r="B673" s="376" t="s">
        <v>1305</v>
      </c>
      <c r="C673" s="370" t="s">
        <v>2165</v>
      </c>
      <c r="D673" s="370" t="s">
        <v>2165</v>
      </c>
      <c r="E673" s="371" t="s">
        <v>1815</v>
      </c>
      <c r="F673" s="376" t="s">
        <v>23</v>
      </c>
      <c r="G673" s="377"/>
      <c r="H673" s="372" t="s">
        <v>2165</v>
      </c>
      <c r="I673" s="373" t="s">
        <v>2165</v>
      </c>
      <c r="J673" s="374">
        <v>135.52000000000001</v>
      </c>
      <c r="K673" s="378">
        <v>7001270008</v>
      </c>
      <c r="L673" s="379">
        <v>0</v>
      </c>
    </row>
    <row r="674" spans="1:12" ht="30" x14ac:dyDescent="0.25">
      <c r="A674" s="375" t="s">
        <v>1306</v>
      </c>
      <c r="B674" s="376" t="s">
        <v>1306</v>
      </c>
      <c r="C674" s="370" t="s">
        <v>2165</v>
      </c>
      <c r="D674" s="370" t="s">
        <v>2165</v>
      </c>
      <c r="E674" s="371" t="s">
        <v>1816</v>
      </c>
      <c r="F674" s="376" t="s">
        <v>23</v>
      </c>
      <c r="G674" s="377"/>
      <c r="H674" s="372" t="s">
        <v>2165</v>
      </c>
      <c r="I674" s="373" t="s">
        <v>2165</v>
      </c>
      <c r="J674" s="374">
        <v>109.19999999999999</v>
      </c>
      <c r="K674" s="378">
        <v>7001270009</v>
      </c>
      <c r="L674" s="379">
        <v>0</v>
      </c>
    </row>
    <row r="675" spans="1:12" s="10" customFormat="1" x14ac:dyDescent="0.25">
      <c r="A675" s="34">
        <v>78</v>
      </c>
      <c r="B675" s="174" t="s">
        <v>2165</v>
      </c>
      <c r="C675" s="383" t="s">
        <v>2165</v>
      </c>
      <c r="D675" s="383" t="s">
        <v>2165</v>
      </c>
      <c r="E675" s="384" t="s">
        <v>572</v>
      </c>
      <c r="F675" s="174"/>
      <c r="G675" s="175"/>
      <c r="H675" s="385" t="s">
        <v>2165</v>
      </c>
      <c r="I675" s="386" t="s">
        <v>2165</v>
      </c>
      <c r="J675" s="387" t="s">
        <v>2165</v>
      </c>
      <c r="K675" s="282" t="s">
        <v>2165</v>
      </c>
      <c r="L675" s="285" t="s">
        <v>2165</v>
      </c>
    </row>
    <row r="676" spans="1:12" s="10" customFormat="1" x14ac:dyDescent="0.25">
      <c r="A676" s="34" t="s">
        <v>568</v>
      </c>
      <c r="B676" s="174" t="s">
        <v>2165</v>
      </c>
      <c r="C676" s="383" t="s">
        <v>2165</v>
      </c>
      <c r="D676" s="383" t="s">
        <v>2165</v>
      </c>
      <c r="E676" s="384" t="s">
        <v>573</v>
      </c>
      <c r="F676" s="174"/>
      <c r="G676" s="175"/>
      <c r="H676" s="385" t="s">
        <v>2165</v>
      </c>
      <c r="I676" s="386" t="s">
        <v>2165</v>
      </c>
      <c r="J676" s="387" t="s">
        <v>2165</v>
      </c>
      <c r="K676" s="282" t="s">
        <v>2165</v>
      </c>
      <c r="L676" s="285" t="s">
        <v>2165</v>
      </c>
    </row>
    <row r="677" spans="1:12" ht="45" x14ac:dyDescent="0.25">
      <c r="A677" s="375" t="s">
        <v>1307</v>
      </c>
      <c r="B677" s="376" t="s">
        <v>1307</v>
      </c>
      <c r="C677" s="370" t="s">
        <v>2165</v>
      </c>
      <c r="D677" s="370" t="s">
        <v>2165</v>
      </c>
      <c r="E677" s="371" t="s">
        <v>2298</v>
      </c>
      <c r="F677" s="376" t="s">
        <v>23</v>
      </c>
      <c r="G677" s="377"/>
      <c r="H677" s="372" t="s">
        <v>2165</v>
      </c>
      <c r="I677" s="373" t="s">
        <v>2165</v>
      </c>
      <c r="J677" s="374">
        <v>221.26000000000002</v>
      </c>
      <c r="K677" s="378">
        <v>7001282816</v>
      </c>
      <c r="L677" s="379">
        <v>0</v>
      </c>
    </row>
    <row r="678" spans="1:12" ht="60" x14ac:dyDescent="0.25">
      <c r="A678" s="375" t="s">
        <v>1308</v>
      </c>
      <c r="B678" s="376" t="s">
        <v>1308</v>
      </c>
      <c r="C678" s="370" t="s">
        <v>2165</v>
      </c>
      <c r="D678" s="370" t="s">
        <v>2165</v>
      </c>
      <c r="E678" s="371" t="s">
        <v>2299</v>
      </c>
      <c r="F678" s="376" t="s">
        <v>23</v>
      </c>
      <c r="G678" s="377"/>
      <c r="H678" s="372" t="s">
        <v>2165</v>
      </c>
      <c r="I678" s="373" t="s">
        <v>2165</v>
      </c>
      <c r="J678" s="374">
        <v>302.18999999999994</v>
      </c>
      <c r="K678" s="378">
        <v>7001282817</v>
      </c>
      <c r="L678" s="379">
        <v>0</v>
      </c>
    </row>
    <row r="679" spans="1:12" ht="45" x14ac:dyDescent="0.25">
      <c r="A679" s="375" t="s">
        <v>1309</v>
      </c>
      <c r="B679" s="376" t="s">
        <v>1309</v>
      </c>
      <c r="C679" s="370" t="s">
        <v>2165</v>
      </c>
      <c r="D679" s="370" t="s">
        <v>2165</v>
      </c>
      <c r="E679" s="371" t="s">
        <v>2300</v>
      </c>
      <c r="F679" s="376" t="s">
        <v>23</v>
      </c>
      <c r="G679" s="377"/>
      <c r="H679" s="372" t="s">
        <v>2165</v>
      </c>
      <c r="I679" s="373" t="s">
        <v>2165</v>
      </c>
      <c r="J679" s="374">
        <v>233.61</v>
      </c>
      <c r="K679" s="378">
        <v>7001282818</v>
      </c>
      <c r="L679" s="379">
        <v>0</v>
      </c>
    </row>
    <row r="680" spans="1:12" ht="45" x14ac:dyDescent="0.25">
      <c r="A680" s="375" t="s">
        <v>1310</v>
      </c>
      <c r="B680" s="376" t="s">
        <v>1310</v>
      </c>
      <c r="C680" s="370" t="s">
        <v>2165</v>
      </c>
      <c r="D680" s="370" t="s">
        <v>2165</v>
      </c>
      <c r="E680" s="371" t="s">
        <v>2301</v>
      </c>
      <c r="F680" s="376" t="s">
        <v>23</v>
      </c>
      <c r="G680" s="377"/>
      <c r="H680" s="372" t="s">
        <v>2165</v>
      </c>
      <c r="I680" s="373" t="s">
        <v>2165</v>
      </c>
      <c r="J680" s="374">
        <v>171.29999999999998</v>
      </c>
      <c r="K680" s="378">
        <v>7001282819</v>
      </c>
      <c r="L680" s="379">
        <v>0.37729130180969062</v>
      </c>
    </row>
    <row r="681" spans="1:12" ht="58.5" customHeight="1" x14ac:dyDescent="0.25">
      <c r="A681" s="375" t="s">
        <v>1311</v>
      </c>
      <c r="B681" s="376" t="s">
        <v>1311</v>
      </c>
      <c r="C681" s="370" t="s">
        <v>2165</v>
      </c>
      <c r="D681" s="370" t="s">
        <v>2165</v>
      </c>
      <c r="E681" s="371" t="s">
        <v>2302</v>
      </c>
      <c r="F681" s="376" t="s">
        <v>23</v>
      </c>
      <c r="G681" s="377"/>
      <c r="H681" s="372" t="s">
        <v>2165</v>
      </c>
      <c r="I681" s="373" t="s">
        <v>2165</v>
      </c>
      <c r="J681" s="374">
        <v>198.81000000000003</v>
      </c>
      <c r="K681" s="378">
        <v>7001282820</v>
      </c>
      <c r="L681" s="379">
        <v>0.35159197223479699</v>
      </c>
    </row>
    <row r="682" spans="1:12" x14ac:dyDescent="0.25">
      <c r="A682" s="375" t="s">
        <v>858</v>
      </c>
      <c r="B682" s="376" t="s">
        <v>858</v>
      </c>
      <c r="C682" s="370" t="s">
        <v>2165</v>
      </c>
      <c r="D682" s="370" t="s">
        <v>2165</v>
      </c>
      <c r="E682" s="371" t="s">
        <v>1817</v>
      </c>
      <c r="F682" s="376" t="s">
        <v>23</v>
      </c>
      <c r="G682" s="377"/>
      <c r="H682" s="372" t="s">
        <v>2165</v>
      </c>
      <c r="I682" s="373" t="s">
        <v>2165</v>
      </c>
      <c r="J682" s="374">
        <v>10.27</v>
      </c>
      <c r="K682" s="378">
        <v>7001600852</v>
      </c>
      <c r="L682" s="379">
        <v>0</v>
      </c>
    </row>
    <row r="683" spans="1:12" ht="30" x14ac:dyDescent="0.25">
      <c r="A683" s="375" t="s">
        <v>859</v>
      </c>
      <c r="B683" s="376" t="s">
        <v>859</v>
      </c>
      <c r="C683" s="370" t="s">
        <v>2165</v>
      </c>
      <c r="D683" s="370" t="s">
        <v>2165</v>
      </c>
      <c r="E683" s="371" t="s">
        <v>1818</v>
      </c>
      <c r="F683" s="376" t="s">
        <v>23</v>
      </c>
      <c r="G683" s="377"/>
      <c r="H683" s="372" t="s">
        <v>2165</v>
      </c>
      <c r="I683" s="373" t="s">
        <v>2165</v>
      </c>
      <c r="J683" s="374">
        <v>55.339999999999996</v>
      </c>
      <c r="K683" s="378">
        <v>7001600853</v>
      </c>
      <c r="L683" s="379">
        <v>0</v>
      </c>
    </row>
    <row r="684" spans="1:12" ht="30" x14ac:dyDescent="0.25">
      <c r="A684" s="375" t="s">
        <v>860</v>
      </c>
      <c r="B684" s="376" t="s">
        <v>860</v>
      </c>
      <c r="C684" s="370" t="s">
        <v>2165</v>
      </c>
      <c r="D684" s="370" t="s">
        <v>2165</v>
      </c>
      <c r="E684" s="371" t="s">
        <v>2259</v>
      </c>
      <c r="F684" s="376" t="s">
        <v>23</v>
      </c>
      <c r="G684" s="377"/>
      <c r="H684" s="372" t="s">
        <v>2165</v>
      </c>
      <c r="I684" s="373" t="s">
        <v>2165</v>
      </c>
      <c r="J684" s="374">
        <v>93.820000000000007</v>
      </c>
      <c r="K684" s="378">
        <v>7001600854</v>
      </c>
      <c r="L684" s="379">
        <v>0</v>
      </c>
    </row>
    <row r="685" spans="1:12" ht="30" x14ac:dyDescent="0.25">
      <c r="A685" s="375" t="s">
        <v>861</v>
      </c>
      <c r="B685" s="376" t="s">
        <v>861</v>
      </c>
      <c r="C685" s="370" t="s">
        <v>2165</v>
      </c>
      <c r="D685" s="370" t="s">
        <v>2165</v>
      </c>
      <c r="E685" s="371" t="s">
        <v>1819</v>
      </c>
      <c r="F685" s="376" t="s">
        <v>23</v>
      </c>
      <c r="G685" s="377"/>
      <c r="H685" s="372" t="s">
        <v>2165</v>
      </c>
      <c r="I685" s="373" t="s">
        <v>2165</v>
      </c>
      <c r="J685" s="374">
        <v>142.38</v>
      </c>
      <c r="K685" s="378">
        <v>7001600855</v>
      </c>
      <c r="L685" s="379">
        <v>0</v>
      </c>
    </row>
    <row r="686" spans="1:12" x14ac:dyDescent="0.25">
      <c r="A686" s="375" t="s">
        <v>862</v>
      </c>
      <c r="B686" s="376" t="s">
        <v>862</v>
      </c>
      <c r="C686" s="370" t="s">
        <v>2165</v>
      </c>
      <c r="D686" s="370" t="s">
        <v>2165</v>
      </c>
      <c r="E686" s="371" t="s">
        <v>1820</v>
      </c>
      <c r="F686" s="376" t="s">
        <v>23</v>
      </c>
      <c r="G686" s="377"/>
      <c r="H686" s="372" t="s">
        <v>2165</v>
      </c>
      <c r="I686" s="373" t="s">
        <v>2165</v>
      </c>
      <c r="J686" s="374">
        <v>71.86</v>
      </c>
      <c r="K686" s="378">
        <v>7001600856</v>
      </c>
      <c r="L686" s="379">
        <v>0.45087670470359031</v>
      </c>
    </row>
    <row r="687" spans="1:12" x14ac:dyDescent="0.25">
      <c r="A687" s="375" t="s">
        <v>863</v>
      </c>
      <c r="B687" s="376" t="s">
        <v>863</v>
      </c>
      <c r="C687" s="370" t="s">
        <v>2165</v>
      </c>
      <c r="D687" s="370" t="s">
        <v>2165</v>
      </c>
      <c r="E687" s="371" t="s">
        <v>2283</v>
      </c>
      <c r="F687" s="376" t="s">
        <v>23</v>
      </c>
      <c r="G687" s="377"/>
      <c r="H687" s="372" t="s">
        <v>2165</v>
      </c>
      <c r="I687" s="373" t="s">
        <v>2165</v>
      </c>
      <c r="J687" s="374">
        <v>80.849999999999994</v>
      </c>
      <c r="K687" s="378">
        <v>7001282821</v>
      </c>
      <c r="L687" s="379">
        <v>0</v>
      </c>
    </row>
    <row r="688" spans="1:12" ht="165" x14ac:dyDescent="0.25">
      <c r="A688" s="375" t="s">
        <v>1039</v>
      </c>
      <c r="B688" s="376" t="s">
        <v>1039</v>
      </c>
      <c r="C688" s="370" t="s">
        <v>2165</v>
      </c>
      <c r="D688" s="370" t="s">
        <v>2165</v>
      </c>
      <c r="E688" s="371" t="s">
        <v>1821</v>
      </c>
      <c r="F688" s="376" t="s">
        <v>23</v>
      </c>
      <c r="G688" s="377"/>
      <c r="H688" s="372" t="s">
        <v>2165</v>
      </c>
      <c r="I688" s="373" t="s">
        <v>2165</v>
      </c>
      <c r="J688" s="374">
        <v>2474.62</v>
      </c>
      <c r="K688" s="378">
        <v>7001320003</v>
      </c>
      <c r="L688" s="379">
        <v>0.15223347423038688</v>
      </c>
    </row>
    <row r="689" spans="1:12" ht="30" x14ac:dyDescent="0.25">
      <c r="A689" s="375" t="s">
        <v>1312</v>
      </c>
      <c r="B689" s="376" t="s">
        <v>1312</v>
      </c>
      <c r="C689" s="370" t="s">
        <v>2165</v>
      </c>
      <c r="D689" s="370" t="s">
        <v>2165</v>
      </c>
      <c r="E689" s="371" t="s">
        <v>1822</v>
      </c>
      <c r="F689" s="376" t="s">
        <v>23</v>
      </c>
      <c r="G689" s="377"/>
      <c r="H689" s="372" t="s">
        <v>2165</v>
      </c>
      <c r="I689" s="373" t="s">
        <v>2165</v>
      </c>
      <c r="J689" s="374">
        <v>139.89000000000001</v>
      </c>
      <c r="K689" s="378">
        <v>7001320004</v>
      </c>
      <c r="L689" s="379">
        <v>0.34891700621917221</v>
      </c>
    </row>
    <row r="690" spans="1:12" x14ac:dyDescent="0.25">
      <c r="A690" s="375" t="s">
        <v>864</v>
      </c>
      <c r="B690" s="376" t="s">
        <v>864</v>
      </c>
      <c r="C690" s="370" t="s">
        <v>2165</v>
      </c>
      <c r="D690" s="370" t="s">
        <v>2165</v>
      </c>
      <c r="E690" s="371" t="s">
        <v>1823</v>
      </c>
      <c r="F690" s="376" t="s">
        <v>23</v>
      </c>
      <c r="G690" s="377"/>
      <c r="H690" s="372" t="s">
        <v>2165</v>
      </c>
      <c r="I690" s="373" t="s">
        <v>2165</v>
      </c>
      <c r="J690" s="374">
        <v>281.7</v>
      </c>
      <c r="K690" s="378">
        <v>7001600861</v>
      </c>
      <c r="L690" s="379">
        <v>0</v>
      </c>
    </row>
    <row r="691" spans="1:12" ht="45" x14ac:dyDescent="0.25">
      <c r="A691" s="375" t="s">
        <v>865</v>
      </c>
      <c r="B691" s="376" t="s">
        <v>865</v>
      </c>
      <c r="C691" s="370" t="s">
        <v>2165</v>
      </c>
      <c r="D691" s="370" t="s">
        <v>2165</v>
      </c>
      <c r="E691" s="371" t="s">
        <v>2303</v>
      </c>
      <c r="F691" s="376" t="s">
        <v>23</v>
      </c>
      <c r="G691" s="377"/>
      <c r="H691" s="372" t="s">
        <v>2165</v>
      </c>
      <c r="I691" s="373" t="s">
        <v>2165</v>
      </c>
      <c r="J691" s="374">
        <v>211.93</v>
      </c>
      <c r="K691" s="378">
        <v>7001282822</v>
      </c>
      <c r="L691" s="379">
        <v>0.65965177181144719</v>
      </c>
    </row>
    <row r="692" spans="1:12" ht="45" x14ac:dyDescent="0.25">
      <c r="A692" s="375" t="s">
        <v>866</v>
      </c>
      <c r="B692" s="376" t="s">
        <v>866</v>
      </c>
      <c r="C692" s="370" t="s">
        <v>2165</v>
      </c>
      <c r="D692" s="370" t="s">
        <v>2165</v>
      </c>
      <c r="E692" s="371" t="s">
        <v>2304</v>
      </c>
      <c r="F692" s="376" t="s">
        <v>23</v>
      </c>
      <c r="G692" s="377"/>
      <c r="H692" s="372" t="s">
        <v>2165</v>
      </c>
      <c r="I692" s="373" t="s">
        <v>2165</v>
      </c>
      <c r="J692" s="374">
        <v>221.28</v>
      </c>
      <c r="K692" s="378">
        <v>7001282823</v>
      </c>
      <c r="L692" s="379">
        <v>0.63177874186550986</v>
      </c>
    </row>
    <row r="693" spans="1:12" ht="30" x14ac:dyDescent="0.25">
      <c r="A693" s="375" t="s">
        <v>867</v>
      </c>
      <c r="B693" s="376" t="s">
        <v>867</v>
      </c>
      <c r="C693" s="370" t="s">
        <v>2165</v>
      </c>
      <c r="D693" s="370" t="s">
        <v>2165</v>
      </c>
      <c r="E693" s="371" t="s">
        <v>1824</v>
      </c>
      <c r="F693" s="376" t="s">
        <v>23</v>
      </c>
      <c r="G693" s="377"/>
      <c r="H693" s="372" t="s">
        <v>2165</v>
      </c>
      <c r="I693" s="373" t="s">
        <v>2165</v>
      </c>
      <c r="J693" s="374">
        <v>422.09</v>
      </c>
      <c r="K693" s="378">
        <v>7001282542</v>
      </c>
      <c r="L693" s="379">
        <v>0</v>
      </c>
    </row>
    <row r="694" spans="1:12" ht="30" x14ac:dyDescent="0.25">
      <c r="A694" s="375" t="s">
        <v>868</v>
      </c>
      <c r="B694" s="376" t="s">
        <v>868</v>
      </c>
      <c r="C694" s="370" t="s">
        <v>2165</v>
      </c>
      <c r="D694" s="370" t="s">
        <v>2165</v>
      </c>
      <c r="E694" s="371" t="s">
        <v>1825</v>
      </c>
      <c r="F694" s="376" t="s">
        <v>23</v>
      </c>
      <c r="G694" s="377"/>
      <c r="H694" s="372" t="s">
        <v>2165</v>
      </c>
      <c r="I694" s="373" t="s">
        <v>2165</v>
      </c>
      <c r="J694" s="374">
        <v>314.57</v>
      </c>
      <c r="K694" s="378">
        <v>7001282025</v>
      </c>
      <c r="L694" s="379">
        <v>0</v>
      </c>
    </row>
    <row r="695" spans="1:12" ht="30" x14ac:dyDescent="0.25">
      <c r="A695" s="375" t="s">
        <v>869</v>
      </c>
      <c r="B695" s="376" t="s">
        <v>869</v>
      </c>
      <c r="C695" s="370" t="s">
        <v>2165</v>
      </c>
      <c r="D695" s="370" t="s">
        <v>2165</v>
      </c>
      <c r="E695" s="371" t="s">
        <v>1826</v>
      </c>
      <c r="F695" s="376" t="s">
        <v>23</v>
      </c>
      <c r="G695" s="377"/>
      <c r="H695" s="372" t="s">
        <v>2165</v>
      </c>
      <c r="I695" s="373" t="s">
        <v>2165</v>
      </c>
      <c r="J695" s="374">
        <v>662.05</v>
      </c>
      <c r="K695" s="378">
        <v>7001282026</v>
      </c>
      <c r="L695" s="379">
        <v>0</v>
      </c>
    </row>
    <row r="696" spans="1:12" s="10" customFormat="1" x14ac:dyDescent="0.25">
      <c r="A696" s="34" t="s">
        <v>570</v>
      </c>
      <c r="B696" s="174" t="s">
        <v>2165</v>
      </c>
      <c r="C696" s="383" t="s">
        <v>2165</v>
      </c>
      <c r="D696" s="383" t="s">
        <v>2165</v>
      </c>
      <c r="E696" s="384" t="s">
        <v>574</v>
      </c>
      <c r="F696" s="174"/>
      <c r="G696" s="175"/>
      <c r="H696" s="385" t="s">
        <v>2165</v>
      </c>
      <c r="I696" s="386" t="s">
        <v>2165</v>
      </c>
      <c r="J696" s="387" t="s">
        <v>2165</v>
      </c>
      <c r="K696" s="282" t="s">
        <v>2165</v>
      </c>
      <c r="L696" s="285" t="s">
        <v>2165</v>
      </c>
    </row>
    <row r="697" spans="1:12" x14ac:dyDescent="0.25">
      <c r="A697" s="375" t="s">
        <v>870</v>
      </c>
      <c r="B697" s="376" t="s">
        <v>870</v>
      </c>
      <c r="C697" s="370" t="s">
        <v>2165</v>
      </c>
      <c r="D697" s="370" t="s">
        <v>2165</v>
      </c>
      <c r="E697" s="371" t="s">
        <v>1827</v>
      </c>
      <c r="F697" s="376" t="s">
        <v>23</v>
      </c>
      <c r="G697" s="377"/>
      <c r="H697" s="372" t="s">
        <v>2165</v>
      </c>
      <c r="I697" s="373" t="s">
        <v>2165</v>
      </c>
      <c r="J697" s="374">
        <v>8.9600000000000009</v>
      </c>
      <c r="K697" s="378">
        <v>7001282027</v>
      </c>
      <c r="L697" s="379">
        <v>0</v>
      </c>
    </row>
    <row r="698" spans="1:12" x14ac:dyDescent="0.25">
      <c r="A698" s="375" t="s">
        <v>871</v>
      </c>
      <c r="B698" s="376" t="s">
        <v>871</v>
      </c>
      <c r="C698" s="370" t="s">
        <v>2165</v>
      </c>
      <c r="D698" s="370" t="s">
        <v>2165</v>
      </c>
      <c r="E698" s="371" t="s">
        <v>1828</v>
      </c>
      <c r="F698" s="376" t="s">
        <v>23</v>
      </c>
      <c r="G698" s="377"/>
      <c r="H698" s="372" t="s">
        <v>2165</v>
      </c>
      <c r="I698" s="373" t="s">
        <v>2165</v>
      </c>
      <c r="J698" s="374">
        <v>7.61</v>
      </c>
      <c r="K698" s="378">
        <v>7001282028</v>
      </c>
      <c r="L698" s="379">
        <v>0</v>
      </c>
    </row>
    <row r="699" spans="1:12" s="10" customFormat="1" x14ac:dyDescent="0.25">
      <c r="A699" s="34" t="s">
        <v>1108</v>
      </c>
      <c r="B699" s="174" t="s">
        <v>2165</v>
      </c>
      <c r="C699" s="383" t="s">
        <v>2165</v>
      </c>
      <c r="D699" s="383" t="s">
        <v>2165</v>
      </c>
      <c r="E699" s="384" t="s">
        <v>575</v>
      </c>
      <c r="F699" s="174"/>
      <c r="G699" s="175"/>
      <c r="H699" s="385" t="s">
        <v>2165</v>
      </c>
      <c r="I699" s="386" t="s">
        <v>2165</v>
      </c>
      <c r="J699" s="387" t="s">
        <v>2165</v>
      </c>
      <c r="K699" s="282" t="s">
        <v>2165</v>
      </c>
      <c r="L699" s="285" t="s">
        <v>2165</v>
      </c>
    </row>
    <row r="700" spans="1:12" x14ac:dyDescent="0.25">
      <c r="A700" s="375" t="s">
        <v>872</v>
      </c>
      <c r="B700" s="376" t="s">
        <v>872</v>
      </c>
      <c r="C700" s="370" t="s">
        <v>2165</v>
      </c>
      <c r="D700" s="370" t="s">
        <v>2165</v>
      </c>
      <c r="E700" s="371" t="s">
        <v>1829</v>
      </c>
      <c r="F700" s="376" t="s">
        <v>23</v>
      </c>
      <c r="G700" s="377"/>
      <c r="H700" s="372" t="s">
        <v>2165</v>
      </c>
      <c r="I700" s="373" t="s">
        <v>2165</v>
      </c>
      <c r="J700" s="374">
        <v>7.3900000000000006</v>
      </c>
      <c r="K700" s="378">
        <v>7001282191</v>
      </c>
      <c r="L700" s="379">
        <v>0</v>
      </c>
    </row>
    <row r="701" spans="1:12" s="10" customFormat="1" x14ac:dyDescent="0.25">
      <c r="A701" s="34" t="s">
        <v>1109</v>
      </c>
      <c r="B701" s="174" t="s">
        <v>2165</v>
      </c>
      <c r="C701" s="383" t="s">
        <v>2165</v>
      </c>
      <c r="D701" s="383" t="s">
        <v>2165</v>
      </c>
      <c r="E701" s="384" t="s">
        <v>576</v>
      </c>
      <c r="F701" s="174"/>
      <c r="G701" s="175"/>
      <c r="H701" s="385" t="s">
        <v>2165</v>
      </c>
      <c r="I701" s="386" t="s">
        <v>2165</v>
      </c>
      <c r="J701" s="387" t="s">
        <v>2165</v>
      </c>
      <c r="K701" s="282" t="s">
        <v>2165</v>
      </c>
      <c r="L701" s="285" t="s">
        <v>2165</v>
      </c>
    </row>
    <row r="702" spans="1:12" x14ac:dyDescent="0.25">
      <c r="A702" s="375" t="s">
        <v>873</v>
      </c>
      <c r="B702" s="376" t="s">
        <v>873</v>
      </c>
      <c r="C702" s="370" t="s">
        <v>2165</v>
      </c>
      <c r="D702" s="370" t="s">
        <v>2165</v>
      </c>
      <c r="E702" s="371" t="s">
        <v>1830</v>
      </c>
      <c r="F702" s="376" t="s">
        <v>20</v>
      </c>
      <c r="G702" s="377"/>
      <c r="H702" s="372" t="s">
        <v>2165</v>
      </c>
      <c r="I702" s="373" t="s">
        <v>2165</v>
      </c>
      <c r="J702" s="374">
        <v>14.78</v>
      </c>
      <c r="K702" s="378">
        <v>7001600825</v>
      </c>
      <c r="L702" s="379">
        <v>0</v>
      </c>
    </row>
    <row r="703" spans="1:12" x14ac:dyDescent="0.25">
      <c r="A703" s="375" t="s">
        <v>874</v>
      </c>
      <c r="B703" s="376" t="s">
        <v>874</v>
      </c>
      <c r="C703" s="370" t="s">
        <v>2165</v>
      </c>
      <c r="D703" s="370" t="s">
        <v>2165</v>
      </c>
      <c r="E703" s="371" t="s">
        <v>1831</v>
      </c>
      <c r="F703" s="376" t="s">
        <v>20</v>
      </c>
      <c r="G703" s="377"/>
      <c r="H703" s="372" t="s">
        <v>2165</v>
      </c>
      <c r="I703" s="373" t="s">
        <v>2165</v>
      </c>
      <c r="J703" s="374">
        <v>22.89</v>
      </c>
      <c r="K703" s="378">
        <v>7001600826</v>
      </c>
      <c r="L703" s="379">
        <v>0</v>
      </c>
    </row>
    <row r="704" spans="1:12" x14ac:dyDescent="0.25">
      <c r="A704" s="375" t="s">
        <v>875</v>
      </c>
      <c r="B704" s="376" t="s">
        <v>875</v>
      </c>
      <c r="C704" s="370" t="s">
        <v>2165</v>
      </c>
      <c r="D704" s="370" t="s">
        <v>2165</v>
      </c>
      <c r="E704" s="371" t="s">
        <v>1832</v>
      </c>
      <c r="F704" s="376" t="s">
        <v>20</v>
      </c>
      <c r="G704" s="377"/>
      <c r="H704" s="372" t="s">
        <v>2165</v>
      </c>
      <c r="I704" s="373" t="s">
        <v>2165</v>
      </c>
      <c r="J704" s="374">
        <v>31.869999999999997</v>
      </c>
      <c r="K704" s="378">
        <v>7001601171</v>
      </c>
      <c r="L704" s="379">
        <v>0</v>
      </c>
    </row>
    <row r="705" spans="1:12" x14ac:dyDescent="0.25">
      <c r="A705" s="375" t="s">
        <v>876</v>
      </c>
      <c r="B705" s="376" t="s">
        <v>876</v>
      </c>
      <c r="C705" s="370" t="s">
        <v>2165</v>
      </c>
      <c r="D705" s="370" t="s">
        <v>2165</v>
      </c>
      <c r="E705" s="371" t="s">
        <v>1833</v>
      </c>
      <c r="F705" s="376" t="s">
        <v>20</v>
      </c>
      <c r="G705" s="377"/>
      <c r="H705" s="372" t="s">
        <v>2165</v>
      </c>
      <c r="I705" s="373" t="s">
        <v>2165</v>
      </c>
      <c r="J705" s="374">
        <v>144.01</v>
      </c>
      <c r="K705" s="378">
        <v>7001601303</v>
      </c>
      <c r="L705" s="379">
        <v>0</v>
      </c>
    </row>
    <row r="706" spans="1:12" s="10" customFormat="1" x14ac:dyDescent="0.25">
      <c r="A706" s="34" t="s">
        <v>1110</v>
      </c>
      <c r="B706" s="174" t="s">
        <v>2165</v>
      </c>
      <c r="C706" s="383" t="s">
        <v>2165</v>
      </c>
      <c r="D706" s="383" t="s">
        <v>2165</v>
      </c>
      <c r="E706" s="384" t="s">
        <v>577</v>
      </c>
      <c r="F706" s="174"/>
      <c r="G706" s="175"/>
      <c r="H706" s="385" t="s">
        <v>2165</v>
      </c>
      <c r="I706" s="386" t="s">
        <v>2165</v>
      </c>
      <c r="J706" s="387" t="s">
        <v>2165</v>
      </c>
      <c r="K706" s="282" t="s">
        <v>2165</v>
      </c>
      <c r="L706" s="285" t="s">
        <v>2165</v>
      </c>
    </row>
    <row r="707" spans="1:12" x14ac:dyDescent="0.25">
      <c r="A707" s="375" t="s">
        <v>877</v>
      </c>
      <c r="B707" s="376" t="s">
        <v>877</v>
      </c>
      <c r="C707" s="370" t="s">
        <v>2165</v>
      </c>
      <c r="D707" s="370" t="s">
        <v>2165</v>
      </c>
      <c r="E707" s="371" t="s">
        <v>1834</v>
      </c>
      <c r="F707" s="376" t="s">
        <v>20</v>
      </c>
      <c r="G707" s="377"/>
      <c r="H707" s="372" t="s">
        <v>2165</v>
      </c>
      <c r="I707" s="373" t="s">
        <v>2165</v>
      </c>
      <c r="J707" s="374">
        <v>1.4700000000000002</v>
      </c>
      <c r="K707" s="378">
        <v>7001601304</v>
      </c>
      <c r="L707" s="379">
        <v>0</v>
      </c>
    </row>
    <row r="708" spans="1:12" x14ac:dyDescent="0.25">
      <c r="A708" s="375" t="s">
        <v>878</v>
      </c>
      <c r="B708" s="376" t="s">
        <v>878</v>
      </c>
      <c r="C708" s="370" t="s">
        <v>2165</v>
      </c>
      <c r="D708" s="370" t="s">
        <v>2165</v>
      </c>
      <c r="E708" s="371" t="s">
        <v>1835</v>
      </c>
      <c r="F708" s="376" t="s">
        <v>20</v>
      </c>
      <c r="G708" s="377"/>
      <c r="H708" s="372" t="s">
        <v>2165</v>
      </c>
      <c r="I708" s="373" t="s">
        <v>2165</v>
      </c>
      <c r="J708" s="374">
        <v>1.96</v>
      </c>
      <c r="K708" s="378">
        <v>7001601305</v>
      </c>
      <c r="L708" s="379">
        <v>0</v>
      </c>
    </row>
    <row r="709" spans="1:12" x14ac:dyDescent="0.25">
      <c r="A709" s="375" t="s">
        <v>879</v>
      </c>
      <c r="B709" s="376" t="s">
        <v>879</v>
      </c>
      <c r="C709" s="370" t="s">
        <v>2165</v>
      </c>
      <c r="D709" s="370" t="s">
        <v>2165</v>
      </c>
      <c r="E709" s="371" t="s">
        <v>1836</v>
      </c>
      <c r="F709" s="376" t="s">
        <v>20</v>
      </c>
      <c r="G709" s="377"/>
      <c r="H709" s="372" t="s">
        <v>2165</v>
      </c>
      <c r="I709" s="373" t="s">
        <v>2165</v>
      </c>
      <c r="J709" s="374">
        <v>2.95</v>
      </c>
      <c r="K709" s="378">
        <v>7001601306</v>
      </c>
      <c r="L709" s="379">
        <v>0</v>
      </c>
    </row>
    <row r="710" spans="1:12" x14ac:dyDescent="0.25">
      <c r="A710" s="375" t="s">
        <v>880</v>
      </c>
      <c r="B710" s="376" t="s">
        <v>880</v>
      </c>
      <c r="C710" s="370" t="s">
        <v>2165</v>
      </c>
      <c r="D710" s="370" t="s">
        <v>2165</v>
      </c>
      <c r="E710" s="371" t="s">
        <v>1837</v>
      </c>
      <c r="F710" s="376" t="s">
        <v>20</v>
      </c>
      <c r="G710" s="377"/>
      <c r="H710" s="372" t="s">
        <v>2165</v>
      </c>
      <c r="I710" s="373" t="s">
        <v>2165</v>
      </c>
      <c r="J710" s="374">
        <v>3.94</v>
      </c>
      <c r="K710" s="378">
        <v>7001601307</v>
      </c>
      <c r="L710" s="379">
        <v>0</v>
      </c>
    </row>
    <row r="711" spans="1:12" x14ac:dyDescent="0.25">
      <c r="A711" s="375" t="s">
        <v>881</v>
      </c>
      <c r="B711" s="376" t="s">
        <v>881</v>
      </c>
      <c r="C711" s="370" t="s">
        <v>2165</v>
      </c>
      <c r="D711" s="370" t="s">
        <v>2165</v>
      </c>
      <c r="E711" s="371" t="s">
        <v>1838</v>
      </c>
      <c r="F711" s="376" t="s">
        <v>20</v>
      </c>
      <c r="G711" s="377"/>
      <c r="H711" s="372" t="s">
        <v>2165</v>
      </c>
      <c r="I711" s="373" t="s">
        <v>2165</v>
      </c>
      <c r="J711" s="374">
        <v>4.92</v>
      </c>
      <c r="K711" s="378">
        <v>7001601309</v>
      </c>
      <c r="L711" s="379">
        <v>0</v>
      </c>
    </row>
    <row r="712" spans="1:12" x14ac:dyDescent="0.25">
      <c r="A712" s="375" t="s">
        <v>882</v>
      </c>
      <c r="B712" s="376" t="s">
        <v>882</v>
      </c>
      <c r="C712" s="370" t="s">
        <v>2165</v>
      </c>
      <c r="D712" s="370" t="s">
        <v>2165</v>
      </c>
      <c r="E712" s="371" t="s">
        <v>1839</v>
      </c>
      <c r="F712" s="376" t="s">
        <v>20</v>
      </c>
      <c r="G712" s="377"/>
      <c r="H712" s="372" t="s">
        <v>2165</v>
      </c>
      <c r="I712" s="373" t="s">
        <v>2165</v>
      </c>
      <c r="J712" s="374">
        <v>6.4</v>
      </c>
      <c r="K712" s="378">
        <v>7001601310</v>
      </c>
      <c r="L712" s="379">
        <v>0</v>
      </c>
    </row>
    <row r="713" spans="1:12" x14ac:dyDescent="0.25">
      <c r="A713" s="375" t="s">
        <v>883</v>
      </c>
      <c r="B713" s="376" t="s">
        <v>883</v>
      </c>
      <c r="C713" s="370" t="s">
        <v>2165</v>
      </c>
      <c r="D713" s="370" t="s">
        <v>2165</v>
      </c>
      <c r="E713" s="371" t="s">
        <v>1840</v>
      </c>
      <c r="F713" s="376" t="s">
        <v>20</v>
      </c>
      <c r="G713" s="377"/>
      <c r="H713" s="372" t="s">
        <v>2165</v>
      </c>
      <c r="I713" s="373" t="s">
        <v>2165</v>
      </c>
      <c r="J713" s="374">
        <v>8.3699999999999992</v>
      </c>
      <c r="K713" s="378">
        <v>7001601312</v>
      </c>
      <c r="L713" s="379">
        <v>0</v>
      </c>
    </row>
    <row r="714" spans="1:12" x14ac:dyDescent="0.25">
      <c r="A714" s="375" t="s">
        <v>884</v>
      </c>
      <c r="B714" s="376" t="s">
        <v>884</v>
      </c>
      <c r="C714" s="370" t="s">
        <v>2165</v>
      </c>
      <c r="D714" s="370" t="s">
        <v>2165</v>
      </c>
      <c r="E714" s="371" t="s">
        <v>1841</v>
      </c>
      <c r="F714" s="376" t="s">
        <v>20</v>
      </c>
      <c r="G714" s="377"/>
      <c r="H714" s="372" t="s">
        <v>2165</v>
      </c>
      <c r="I714" s="373" t="s">
        <v>2165</v>
      </c>
      <c r="J714" s="374">
        <v>10.35</v>
      </c>
      <c r="K714" s="378">
        <v>7001601313</v>
      </c>
      <c r="L714" s="379">
        <v>0</v>
      </c>
    </row>
    <row r="715" spans="1:12" x14ac:dyDescent="0.25">
      <c r="A715" s="375" t="s">
        <v>885</v>
      </c>
      <c r="B715" s="376" t="s">
        <v>885</v>
      </c>
      <c r="C715" s="370" t="s">
        <v>2165</v>
      </c>
      <c r="D715" s="370" t="s">
        <v>2165</v>
      </c>
      <c r="E715" s="371" t="s">
        <v>1842</v>
      </c>
      <c r="F715" s="376" t="s">
        <v>20</v>
      </c>
      <c r="G715" s="377"/>
      <c r="H715" s="372" t="s">
        <v>2165</v>
      </c>
      <c r="I715" s="373" t="s">
        <v>2165</v>
      </c>
      <c r="J715" s="374">
        <v>15.280000000000001</v>
      </c>
      <c r="K715" s="378">
        <v>7001601316</v>
      </c>
      <c r="L715" s="379">
        <v>0</v>
      </c>
    </row>
    <row r="716" spans="1:12" x14ac:dyDescent="0.25">
      <c r="A716" s="375" t="s">
        <v>886</v>
      </c>
      <c r="B716" s="376" t="s">
        <v>886</v>
      </c>
      <c r="C716" s="370" t="s">
        <v>2165</v>
      </c>
      <c r="D716" s="370" t="s">
        <v>2165</v>
      </c>
      <c r="E716" s="371" t="s">
        <v>1843</v>
      </c>
      <c r="F716" s="376" t="s">
        <v>20</v>
      </c>
      <c r="G716" s="377"/>
      <c r="H716" s="372" t="s">
        <v>2165</v>
      </c>
      <c r="I716" s="373" t="s">
        <v>2165</v>
      </c>
      <c r="J716" s="374">
        <v>16.760000000000002</v>
      </c>
      <c r="K716" s="378">
        <v>7001601315</v>
      </c>
      <c r="L716" s="379">
        <v>0</v>
      </c>
    </row>
    <row r="717" spans="1:12" x14ac:dyDescent="0.25">
      <c r="A717" s="375" t="s">
        <v>887</v>
      </c>
      <c r="B717" s="376" t="s">
        <v>887</v>
      </c>
      <c r="C717" s="370" t="s">
        <v>2165</v>
      </c>
      <c r="D717" s="370" t="s">
        <v>2165</v>
      </c>
      <c r="E717" s="371" t="s">
        <v>1844</v>
      </c>
      <c r="F717" s="376" t="s">
        <v>20</v>
      </c>
      <c r="G717" s="377"/>
      <c r="H717" s="372" t="s">
        <v>2165</v>
      </c>
      <c r="I717" s="373" t="s">
        <v>2165</v>
      </c>
      <c r="J717" s="374">
        <v>17.75</v>
      </c>
      <c r="K717" s="378">
        <v>7001601318</v>
      </c>
      <c r="L717" s="379">
        <v>0</v>
      </c>
    </row>
    <row r="718" spans="1:12" x14ac:dyDescent="0.25">
      <c r="A718" s="375" t="s">
        <v>888</v>
      </c>
      <c r="B718" s="376" t="s">
        <v>888</v>
      </c>
      <c r="C718" s="370" t="s">
        <v>2165</v>
      </c>
      <c r="D718" s="370" t="s">
        <v>2165</v>
      </c>
      <c r="E718" s="371" t="s">
        <v>1845</v>
      </c>
      <c r="F718" s="376" t="s">
        <v>20</v>
      </c>
      <c r="G718" s="377"/>
      <c r="H718" s="372" t="s">
        <v>2165</v>
      </c>
      <c r="I718" s="373" t="s">
        <v>2165</v>
      </c>
      <c r="J718" s="374">
        <v>18.740000000000002</v>
      </c>
      <c r="K718" s="378">
        <v>7001601320</v>
      </c>
      <c r="L718" s="379">
        <v>0</v>
      </c>
    </row>
    <row r="719" spans="1:12" x14ac:dyDescent="0.25">
      <c r="A719" s="375" t="s">
        <v>889</v>
      </c>
      <c r="B719" s="376" t="s">
        <v>889</v>
      </c>
      <c r="C719" s="370" t="s">
        <v>2165</v>
      </c>
      <c r="D719" s="370" t="s">
        <v>2165</v>
      </c>
      <c r="E719" s="371" t="s">
        <v>1846</v>
      </c>
      <c r="F719" s="376" t="s">
        <v>20</v>
      </c>
      <c r="G719" s="377"/>
      <c r="H719" s="372" t="s">
        <v>2165</v>
      </c>
      <c r="I719" s="373" t="s">
        <v>2165</v>
      </c>
      <c r="J719" s="374">
        <v>19.73</v>
      </c>
      <c r="K719" s="378">
        <v>7001601322</v>
      </c>
      <c r="L719" s="379">
        <v>0</v>
      </c>
    </row>
    <row r="720" spans="1:12" x14ac:dyDescent="0.25">
      <c r="A720" s="375" t="s">
        <v>890</v>
      </c>
      <c r="B720" s="376" t="s">
        <v>890</v>
      </c>
      <c r="C720" s="370" t="s">
        <v>2165</v>
      </c>
      <c r="D720" s="370" t="s">
        <v>2165</v>
      </c>
      <c r="E720" s="371" t="s">
        <v>1847</v>
      </c>
      <c r="F720" s="376" t="s">
        <v>20</v>
      </c>
      <c r="G720" s="377"/>
      <c r="H720" s="372" t="s">
        <v>2165</v>
      </c>
      <c r="I720" s="373" t="s">
        <v>2165</v>
      </c>
      <c r="J720" s="374">
        <v>20.7</v>
      </c>
      <c r="K720" s="378">
        <v>7001601350</v>
      </c>
      <c r="L720" s="379">
        <v>0</v>
      </c>
    </row>
    <row r="721" spans="1:12" x14ac:dyDescent="0.25">
      <c r="A721" s="375" t="s">
        <v>891</v>
      </c>
      <c r="B721" s="376" t="s">
        <v>891</v>
      </c>
      <c r="C721" s="370" t="s">
        <v>2165</v>
      </c>
      <c r="D721" s="370" t="s">
        <v>2165</v>
      </c>
      <c r="E721" s="371" t="s">
        <v>1848</v>
      </c>
      <c r="F721" s="376" t="s">
        <v>20</v>
      </c>
      <c r="G721" s="377"/>
      <c r="H721" s="372" t="s">
        <v>2165</v>
      </c>
      <c r="I721" s="373" t="s">
        <v>2165</v>
      </c>
      <c r="J721" s="374">
        <v>20.7</v>
      </c>
      <c r="K721" s="378">
        <v>7001601324</v>
      </c>
      <c r="L721" s="379">
        <v>0</v>
      </c>
    </row>
    <row r="722" spans="1:12" x14ac:dyDescent="0.25">
      <c r="A722" s="375" t="s">
        <v>892</v>
      </c>
      <c r="B722" s="376" t="s">
        <v>892</v>
      </c>
      <c r="C722" s="370" t="s">
        <v>2165</v>
      </c>
      <c r="D722" s="370" t="s">
        <v>2165</v>
      </c>
      <c r="E722" s="371" t="s">
        <v>1849</v>
      </c>
      <c r="F722" s="376" t="s">
        <v>20</v>
      </c>
      <c r="G722" s="377"/>
      <c r="H722" s="372" t="s">
        <v>2165</v>
      </c>
      <c r="I722" s="373" t="s">
        <v>2165</v>
      </c>
      <c r="J722" s="374">
        <v>24.66</v>
      </c>
      <c r="K722" s="378">
        <v>7001601326</v>
      </c>
      <c r="L722" s="379">
        <v>0</v>
      </c>
    </row>
    <row r="723" spans="1:12" x14ac:dyDescent="0.25">
      <c r="A723" s="375" t="s">
        <v>893</v>
      </c>
      <c r="B723" s="376" t="s">
        <v>893</v>
      </c>
      <c r="C723" s="370" t="s">
        <v>2165</v>
      </c>
      <c r="D723" s="370" t="s">
        <v>2165</v>
      </c>
      <c r="E723" s="371" t="s">
        <v>1850</v>
      </c>
      <c r="F723" s="376" t="s">
        <v>20</v>
      </c>
      <c r="G723" s="377"/>
      <c r="H723" s="372" t="s">
        <v>2165</v>
      </c>
      <c r="I723" s="373" t="s">
        <v>2165</v>
      </c>
      <c r="J723" s="374">
        <v>27.62</v>
      </c>
      <c r="K723" s="378">
        <v>7001601327</v>
      </c>
      <c r="L723" s="379">
        <v>0</v>
      </c>
    </row>
    <row r="724" spans="1:12" s="10" customFormat="1" x14ac:dyDescent="0.25">
      <c r="A724" s="34" t="s">
        <v>1111</v>
      </c>
      <c r="B724" s="174" t="s">
        <v>2165</v>
      </c>
      <c r="C724" s="383" t="s">
        <v>2165</v>
      </c>
      <c r="D724" s="383" t="s">
        <v>2165</v>
      </c>
      <c r="E724" s="384" t="s">
        <v>578</v>
      </c>
      <c r="F724" s="174"/>
      <c r="G724" s="175"/>
      <c r="H724" s="385" t="s">
        <v>2165</v>
      </c>
      <c r="I724" s="386" t="s">
        <v>2165</v>
      </c>
      <c r="J724" s="387" t="s">
        <v>2165</v>
      </c>
      <c r="K724" s="282" t="s">
        <v>2165</v>
      </c>
      <c r="L724" s="285" t="s">
        <v>2165</v>
      </c>
    </row>
    <row r="725" spans="1:12" x14ac:dyDescent="0.25">
      <c r="A725" s="375" t="s">
        <v>894</v>
      </c>
      <c r="B725" s="376" t="s">
        <v>894</v>
      </c>
      <c r="C725" s="370" t="s">
        <v>2165</v>
      </c>
      <c r="D725" s="370" t="s">
        <v>2165</v>
      </c>
      <c r="E725" s="371" t="s">
        <v>1851</v>
      </c>
      <c r="F725" s="376" t="s">
        <v>23</v>
      </c>
      <c r="G725" s="377"/>
      <c r="H725" s="372" t="s">
        <v>2165</v>
      </c>
      <c r="I725" s="373" t="s">
        <v>2165</v>
      </c>
      <c r="J725" s="374">
        <v>19.73</v>
      </c>
      <c r="K725" s="378">
        <v>7001282034</v>
      </c>
      <c r="L725" s="379">
        <v>0</v>
      </c>
    </row>
    <row r="726" spans="1:12" x14ac:dyDescent="0.25">
      <c r="A726" s="375" t="s">
        <v>895</v>
      </c>
      <c r="B726" s="376" t="s">
        <v>895</v>
      </c>
      <c r="C726" s="370" t="s">
        <v>2165</v>
      </c>
      <c r="D726" s="370" t="s">
        <v>2165</v>
      </c>
      <c r="E726" s="371" t="s">
        <v>1852</v>
      </c>
      <c r="F726" s="376" t="s">
        <v>23</v>
      </c>
      <c r="G726" s="377"/>
      <c r="H726" s="372" t="s">
        <v>2165</v>
      </c>
      <c r="I726" s="373" t="s">
        <v>2165</v>
      </c>
      <c r="J726" s="374">
        <v>19.73</v>
      </c>
      <c r="K726" s="378">
        <v>7001282035</v>
      </c>
      <c r="L726" s="379">
        <v>0</v>
      </c>
    </row>
    <row r="727" spans="1:12" x14ac:dyDescent="0.25">
      <c r="A727" s="375" t="s">
        <v>896</v>
      </c>
      <c r="B727" s="376" t="s">
        <v>896</v>
      </c>
      <c r="C727" s="370" t="s">
        <v>2165</v>
      </c>
      <c r="D727" s="370" t="s">
        <v>2165</v>
      </c>
      <c r="E727" s="371" t="s">
        <v>1853</v>
      </c>
      <c r="F727" s="376" t="s">
        <v>23</v>
      </c>
      <c r="G727" s="377"/>
      <c r="H727" s="372" t="s">
        <v>2165</v>
      </c>
      <c r="I727" s="373" t="s">
        <v>2165</v>
      </c>
      <c r="J727" s="374">
        <v>208.69</v>
      </c>
      <c r="K727" s="378">
        <v>7001282036</v>
      </c>
      <c r="L727" s="379">
        <v>0</v>
      </c>
    </row>
    <row r="728" spans="1:12" x14ac:dyDescent="0.25">
      <c r="A728" s="375" t="s">
        <v>897</v>
      </c>
      <c r="B728" s="376" t="s">
        <v>897</v>
      </c>
      <c r="C728" s="370" t="s">
        <v>2165</v>
      </c>
      <c r="D728" s="370" t="s">
        <v>2165</v>
      </c>
      <c r="E728" s="371" t="s">
        <v>1854</v>
      </c>
      <c r="F728" s="376" t="s">
        <v>23</v>
      </c>
      <c r="G728" s="377"/>
      <c r="H728" s="372" t="s">
        <v>2165</v>
      </c>
      <c r="I728" s="373" t="s">
        <v>2165</v>
      </c>
      <c r="J728" s="374">
        <v>208.82999999999998</v>
      </c>
      <c r="K728" s="378">
        <v>7001282038</v>
      </c>
      <c r="L728" s="379">
        <v>0</v>
      </c>
    </row>
    <row r="729" spans="1:12" x14ac:dyDescent="0.25">
      <c r="A729" s="375" t="s">
        <v>898</v>
      </c>
      <c r="B729" s="376" t="s">
        <v>898</v>
      </c>
      <c r="C729" s="370" t="s">
        <v>2165</v>
      </c>
      <c r="D729" s="370" t="s">
        <v>2165</v>
      </c>
      <c r="E729" s="371" t="s">
        <v>1855</v>
      </c>
      <c r="F729" s="376" t="s">
        <v>23</v>
      </c>
      <c r="G729" s="377"/>
      <c r="H729" s="372" t="s">
        <v>2165</v>
      </c>
      <c r="I729" s="373" t="s">
        <v>2165</v>
      </c>
      <c r="J729" s="374">
        <v>225.88</v>
      </c>
      <c r="K729" s="378">
        <v>7001282039</v>
      </c>
      <c r="L729" s="379">
        <v>0</v>
      </c>
    </row>
    <row r="730" spans="1:12" x14ac:dyDescent="0.25">
      <c r="A730" s="375" t="s">
        <v>899</v>
      </c>
      <c r="B730" s="376" t="s">
        <v>899</v>
      </c>
      <c r="C730" s="370" t="s">
        <v>2165</v>
      </c>
      <c r="D730" s="370" t="s">
        <v>2165</v>
      </c>
      <c r="E730" s="371" t="s">
        <v>1856</v>
      </c>
      <c r="F730" s="376" t="s">
        <v>23</v>
      </c>
      <c r="G730" s="377"/>
      <c r="H730" s="372" t="s">
        <v>2165</v>
      </c>
      <c r="I730" s="373" t="s">
        <v>2165</v>
      </c>
      <c r="J730" s="374">
        <v>404.41</v>
      </c>
      <c r="K730" s="378">
        <v>7001282041</v>
      </c>
      <c r="L730" s="379">
        <v>0</v>
      </c>
    </row>
    <row r="731" spans="1:12" x14ac:dyDescent="0.25">
      <c r="A731" s="375" t="s">
        <v>900</v>
      </c>
      <c r="B731" s="376" t="s">
        <v>900</v>
      </c>
      <c r="C731" s="370" t="s">
        <v>2165</v>
      </c>
      <c r="D731" s="370" t="s">
        <v>2165</v>
      </c>
      <c r="E731" s="371" t="s">
        <v>1857</v>
      </c>
      <c r="F731" s="376" t="s">
        <v>23</v>
      </c>
      <c r="G731" s="377"/>
      <c r="H731" s="372" t="s">
        <v>2165</v>
      </c>
      <c r="I731" s="373" t="s">
        <v>2165</v>
      </c>
      <c r="J731" s="374">
        <v>401.6</v>
      </c>
      <c r="K731" s="378">
        <v>7001282042</v>
      </c>
      <c r="L731" s="379">
        <v>0</v>
      </c>
    </row>
    <row r="732" spans="1:12" s="10" customFormat="1" x14ac:dyDescent="0.25">
      <c r="A732" s="34" t="s">
        <v>1112</v>
      </c>
      <c r="B732" s="174" t="s">
        <v>2165</v>
      </c>
      <c r="C732" s="383" t="s">
        <v>2165</v>
      </c>
      <c r="D732" s="383" t="s">
        <v>2165</v>
      </c>
      <c r="E732" s="384" t="s">
        <v>579</v>
      </c>
      <c r="F732" s="174"/>
      <c r="G732" s="175"/>
      <c r="H732" s="385" t="s">
        <v>2165</v>
      </c>
      <c r="I732" s="386" t="s">
        <v>2165</v>
      </c>
      <c r="J732" s="387" t="s">
        <v>2165</v>
      </c>
      <c r="K732" s="282" t="s">
        <v>2165</v>
      </c>
      <c r="L732" s="285" t="s">
        <v>2165</v>
      </c>
    </row>
    <row r="733" spans="1:12" ht="19.5" customHeight="1" x14ac:dyDescent="0.25">
      <c r="A733" s="375" t="s">
        <v>901</v>
      </c>
      <c r="B733" s="376" t="s">
        <v>901</v>
      </c>
      <c r="C733" s="370" t="s">
        <v>2165</v>
      </c>
      <c r="D733" s="370" t="s">
        <v>2165</v>
      </c>
      <c r="E733" s="371" t="s">
        <v>2260</v>
      </c>
      <c r="F733" s="376" t="s">
        <v>20</v>
      </c>
      <c r="G733" s="377"/>
      <c r="H733" s="372" t="s">
        <v>2165</v>
      </c>
      <c r="I733" s="373" t="s">
        <v>2165</v>
      </c>
      <c r="J733" s="374">
        <v>4.92</v>
      </c>
      <c r="K733" s="378">
        <v>7001282043</v>
      </c>
      <c r="L733" s="379">
        <v>0</v>
      </c>
    </row>
    <row r="734" spans="1:12" x14ac:dyDescent="0.25">
      <c r="A734" s="375" t="s">
        <v>902</v>
      </c>
      <c r="B734" s="376" t="s">
        <v>902</v>
      </c>
      <c r="C734" s="370" t="s">
        <v>2165</v>
      </c>
      <c r="D734" s="370" t="s">
        <v>2165</v>
      </c>
      <c r="E734" s="371" t="s">
        <v>2261</v>
      </c>
      <c r="F734" s="376" t="s">
        <v>20</v>
      </c>
      <c r="G734" s="377"/>
      <c r="H734" s="372" t="s">
        <v>2165</v>
      </c>
      <c r="I734" s="373" t="s">
        <v>2165</v>
      </c>
      <c r="J734" s="374">
        <v>5.91</v>
      </c>
      <c r="K734" s="378">
        <v>7001282045</v>
      </c>
      <c r="L734" s="379">
        <v>0</v>
      </c>
    </row>
    <row r="735" spans="1:12" x14ac:dyDescent="0.25">
      <c r="A735" s="375" t="s">
        <v>903</v>
      </c>
      <c r="B735" s="376" t="s">
        <v>903</v>
      </c>
      <c r="C735" s="370" t="s">
        <v>2165</v>
      </c>
      <c r="D735" s="370" t="s">
        <v>2165</v>
      </c>
      <c r="E735" s="371" t="s">
        <v>2262</v>
      </c>
      <c r="F735" s="376" t="s">
        <v>20</v>
      </c>
      <c r="G735" s="377"/>
      <c r="H735" s="372" t="s">
        <v>2165</v>
      </c>
      <c r="I735" s="373" t="s">
        <v>2165</v>
      </c>
      <c r="J735" s="374">
        <v>7.3900000000000006</v>
      </c>
      <c r="K735" s="378">
        <v>7001282046</v>
      </c>
      <c r="L735" s="379">
        <v>0</v>
      </c>
    </row>
    <row r="736" spans="1:12" x14ac:dyDescent="0.25">
      <c r="A736" s="375" t="s">
        <v>904</v>
      </c>
      <c r="B736" s="376" t="s">
        <v>904</v>
      </c>
      <c r="C736" s="370" t="s">
        <v>2165</v>
      </c>
      <c r="D736" s="370" t="s">
        <v>2165</v>
      </c>
      <c r="E736" s="371" t="s">
        <v>2263</v>
      </c>
      <c r="F736" s="376" t="s">
        <v>20</v>
      </c>
      <c r="G736" s="377"/>
      <c r="H736" s="372" t="s">
        <v>2165</v>
      </c>
      <c r="I736" s="373" t="s">
        <v>2165</v>
      </c>
      <c r="J736" s="374">
        <v>6.35</v>
      </c>
      <c r="K736" s="378">
        <v>7001282543</v>
      </c>
      <c r="L736" s="379">
        <v>0</v>
      </c>
    </row>
    <row r="737" spans="1:12" x14ac:dyDescent="0.25">
      <c r="A737" s="375" t="s">
        <v>905</v>
      </c>
      <c r="B737" s="376" t="s">
        <v>905</v>
      </c>
      <c r="C737" s="370" t="s">
        <v>2165</v>
      </c>
      <c r="D737" s="370" t="s">
        <v>2165</v>
      </c>
      <c r="E737" s="371" t="s">
        <v>2264</v>
      </c>
      <c r="F737" s="376" t="s">
        <v>20</v>
      </c>
      <c r="G737" s="377"/>
      <c r="H737" s="372" t="s">
        <v>2165</v>
      </c>
      <c r="I737" s="373" t="s">
        <v>2165</v>
      </c>
      <c r="J737" s="374">
        <v>8.42</v>
      </c>
      <c r="K737" s="378">
        <v>7001282544</v>
      </c>
      <c r="L737" s="379">
        <v>0</v>
      </c>
    </row>
    <row r="738" spans="1:12" x14ac:dyDescent="0.25">
      <c r="A738" s="375" t="s">
        <v>906</v>
      </c>
      <c r="B738" s="376" t="s">
        <v>906</v>
      </c>
      <c r="C738" s="370" t="s">
        <v>2165</v>
      </c>
      <c r="D738" s="370" t="s">
        <v>2165</v>
      </c>
      <c r="E738" s="371" t="s">
        <v>2265</v>
      </c>
      <c r="F738" s="376" t="s">
        <v>20</v>
      </c>
      <c r="G738" s="377"/>
      <c r="H738" s="372" t="s">
        <v>2165</v>
      </c>
      <c r="I738" s="373" t="s">
        <v>2165</v>
      </c>
      <c r="J738" s="374">
        <v>10.5</v>
      </c>
      <c r="K738" s="378">
        <v>7001282545</v>
      </c>
      <c r="L738" s="379">
        <v>0</v>
      </c>
    </row>
    <row r="739" spans="1:12" s="10" customFormat="1" x14ac:dyDescent="0.25">
      <c r="A739" s="34" t="s">
        <v>1113</v>
      </c>
      <c r="B739" s="174" t="s">
        <v>2165</v>
      </c>
      <c r="C739" s="383" t="s">
        <v>2165</v>
      </c>
      <c r="D739" s="383" t="s">
        <v>2165</v>
      </c>
      <c r="E739" s="384" t="s">
        <v>580</v>
      </c>
      <c r="F739" s="174"/>
      <c r="G739" s="175"/>
      <c r="H739" s="385" t="s">
        <v>2165</v>
      </c>
      <c r="I739" s="386" t="s">
        <v>2165</v>
      </c>
      <c r="J739" s="387" t="s">
        <v>2165</v>
      </c>
      <c r="K739" s="282" t="s">
        <v>2165</v>
      </c>
      <c r="L739" s="285" t="s">
        <v>2165</v>
      </c>
    </row>
    <row r="740" spans="1:12" x14ac:dyDescent="0.25">
      <c r="A740" s="375" t="s">
        <v>907</v>
      </c>
      <c r="B740" s="376" t="s">
        <v>907</v>
      </c>
      <c r="C740" s="370" t="s">
        <v>2165</v>
      </c>
      <c r="D740" s="370" t="s">
        <v>2165</v>
      </c>
      <c r="E740" s="371" t="s">
        <v>1858</v>
      </c>
      <c r="F740" s="376" t="s">
        <v>20</v>
      </c>
      <c r="G740" s="377"/>
      <c r="H740" s="372" t="s">
        <v>2165</v>
      </c>
      <c r="I740" s="373" t="s">
        <v>2165</v>
      </c>
      <c r="J740" s="374">
        <v>14.790000000000001</v>
      </c>
      <c r="K740" s="378">
        <v>7001282057</v>
      </c>
      <c r="L740" s="379">
        <v>0</v>
      </c>
    </row>
    <row r="741" spans="1:12" x14ac:dyDescent="0.25">
      <c r="A741" s="375" t="s">
        <v>908</v>
      </c>
      <c r="B741" s="376" t="s">
        <v>908</v>
      </c>
      <c r="C741" s="370" t="s">
        <v>2165</v>
      </c>
      <c r="D741" s="370" t="s">
        <v>2165</v>
      </c>
      <c r="E741" s="371" t="s">
        <v>1859</v>
      </c>
      <c r="F741" s="376" t="s">
        <v>20</v>
      </c>
      <c r="G741" s="377"/>
      <c r="H741" s="372" t="s">
        <v>2165</v>
      </c>
      <c r="I741" s="373" t="s">
        <v>2165</v>
      </c>
      <c r="J741" s="374">
        <v>14.790000000000001</v>
      </c>
      <c r="K741" s="378">
        <v>7001282058</v>
      </c>
      <c r="L741" s="379">
        <v>0</v>
      </c>
    </row>
    <row r="742" spans="1:12" x14ac:dyDescent="0.25">
      <c r="A742" s="375" t="s">
        <v>909</v>
      </c>
      <c r="B742" s="376" t="s">
        <v>909</v>
      </c>
      <c r="C742" s="370" t="s">
        <v>2165</v>
      </c>
      <c r="D742" s="370" t="s">
        <v>2165</v>
      </c>
      <c r="E742" s="371" t="s">
        <v>1860</v>
      </c>
      <c r="F742" s="376" t="s">
        <v>20</v>
      </c>
      <c r="G742" s="377"/>
      <c r="H742" s="372" t="s">
        <v>2165</v>
      </c>
      <c r="I742" s="373" t="s">
        <v>2165</v>
      </c>
      <c r="J742" s="374">
        <v>29.590000000000003</v>
      </c>
      <c r="K742" s="378">
        <v>7001282059</v>
      </c>
      <c r="L742" s="379">
        <v>0</v>
      </c>
    </row>
    <row r="743" spans="1:12" s="10" customFormat="1" x14ac:dyDescent="0.25">
      <c r="A743" s="34" t="s">
        <v>1114</v>
      </c>
      <c r="B743" s="174" t="s">
        <v>2165</v>
      </c>
      <c r="C743" s="383" t="s">
        <v>2165</v>
      </c>
      <c r="D743" s="383" t="s">
        <v>2165</v>
      </c>
      <c r="E743" s="384" t="s">
        <v>581</v>
      </c>
      <c r="F743" s="174"/>
      <c r="G743" s="175"/>
      <c r="H743" s="385" t="s">
        <v>2165</v>
      </c>
      <c r="I743" s="386" t="s">
        <v>2165</v>
      </c>
      <c r="J743" s="387" t="s">
        <v>2165</v>
      </c>
      <c r="K743" s="282" t="s">
        <v>2165</v>
      </c>
      <c r="L743" s="285" t="s">
        <v>2165</v>
      </c>
    </row>
    <row r="744" spans="1:12" x14ac:dyDescent="0.25">
      <c r="A744" s="375" t="s">
        <v>910</v>
      </c>
      <c r="B744" s="376" t="s">
        <v>910</v>
      </c>
      <c r="C744" s="370" t="s">
        <v>2165</v>
      </c>
      <c r="D744" s="370" t="s">
        <v>2165</v>
      </c>
      <c r="E744" s="371" t="s">
        <v>1861</v>
      </c>
      <c r="F744" s="376" t="s">
        <v>23</v>
      </c>
      <c r="G744" s="377"/>
      <c r="H744" s="372" t="s">
        <v>2165</v>
      </c>
      <c r="I744" s="373" t="s">
        <v>2165</v>
      </c>
      <c r="J744" s="374">
        <v>2065.7800000000002</v>
      </c>
      <c r="K744" s="378">
        <v>7001282060</v>
      </c>
      <c r="L744" s="379">
        <v>6.8042095479673534E-2</v>
      </c>
    </row>
    <row r="745" spans="1:12" x14ac:dyDescent="0.25">
      <c r="A745" s="375" t="s">
        <v>911</v>
      </c>
      <c r="B745" s="376" t="s">
        <v>911</v>
      </c>
      <c r="C745" s="370" t="s">
        <v>2165</v>
      </c>
      <c r="D745" s="370" t="s">
        <v>2165</v>
      </c>
      <c r="E745" s="371" t="s">
        <v>1862</v>
      </c>
      <c r="F745" s="376" t="s">
        <v>23</v>
      </c>
      <c r="G745" s="377"/>
      <c r="H745" s="372" t="s">
        <v>2165</v>
      </c>
      <c r="I745" s="373" t="s">
        <v>2165</v>
      </c>
      <c r="J745" s="374">
        <v>2383.6999999999998</v>
      </c>
      <c r="K745" s="378">
        <v>7001282061</v>
      </c>
      <c r="L745" s="379">
        <v>5.8967151906699676E-2</v>
      </c>
    </row>
    <row r="746" spans="1:12" x14ac:dyDescent="0.25">
      <c r="A746" s="375" t="s">
        <v>912</v>
      </c>
      <c r="B746" s="376" t="s">
        <v>912</v>
      </c>
      <c r="C746" s="370" t="s">
        <v>2165</v>
      </c>
      <c r="D746" s="370" t="s">
        <v>2165</v>
      </c>
      <c r="E746" s="371" t="s">
        <v>1863</v>
      </c>
      <c r="F746" s="376" t="s">
        <v>23</v>
      </c>
      <c r="G746" s="377"/>
      <c r="H746" s="372" t="s">
        <v>2165</v>
      </c>
      <c r="I746" s="373" t="s">
        <v>2165</v>
      </c>
      <c r="J746" s="374">
        <v>2701.62</v>
      </c>
      <c r="K746" s="378">
        <v>7001282062</v>
      </c>
      <c r="L746" s="379">
        <v>5.2028042433798979E-2</v>
      </c>
    </row>
    <row r="747" spans="1:12" ht="30" x14ac:dyDescent="0.25">
      <c r="A747" s="375" t="s">
        <v>913</v>
      </c>
      <c r="B747" s="376" t="s">
        <v>913</v>
      </c>
      <c r="C747" s="370" t="s">
        <v>2165</v>
      </c>
      <c r="D747" s="370" t="s">
        <v>2165</v>
      </c>
      <c r="E747" s="371" t="s">
        <v>1864</v>
      </c>
      <c r="F747" s="376" t="s">
        <v>23</v>
      </c>
      <c r="G747" s="377"/>
      <c r="H747" s="372" t="s">
        <v>2165</v>
      </c>
      <c r="I747" s="373" t="s">
        <v>2165</v>
      </c>
      <c r="J747" s="374">
        <v>953.06</v>
      </c>
      <c r="K747" s="378">
        <v>7001282063</v>
      </c>
      <c r="L747" s="379">
        <v>0.14748284473170631</v>
      </c>
    </row>
    <row r="748" spans="1:12" ht="30" x14ac:dyDescent="0.25">
      <c r="A748" s="375" t="s">
        <v>914</v>
      </c>
      <c r="B748" s="376" t="s">
        <v>914</v>
      </c>
      <c r="C748" s="370" t="s">
        <v>2165</v>
      </c>
      <c r="D748" s="370" t="s">
        <v>2165</v>
      </c>
      <c r="E748" s="371" t="s">
        <v>1865</v>
      </c>
      <c r="F748" s="376" t="s">
        <v>23</v>
      </c>
      <c r="G748" s="377"/>
      <c r="H748" s="372" t="s">
        <v>2165</v>
      </c>
      <c r="I748" s="373" t="s">
        <v>2165</v>
      </c>
      <c r="J748" s="374">
        <v>1112.02</v>
      </c>
      <c r="K748" s="378">
        <v>7001282064</v>
      </c>
      <c r="L748" s="379">
        <v>0.12640060430567795</v>
      </c>
    </row>
    <row r="749" spans="1:12" ht="30" x14ac:dyDescent="0.25">
      <c r="A749" s="375" t="s">
        <v>915</v>
      </c>
      <c r="B749" s="376" t="s">
        <v>915</v>
      </c>
      <c r="C749" s="370" t="s">
        <v>2165</v>
      </c>
      <c r="D749" s="370" t="s">
        <v>2165</v>
      </c>
      <c r="E749" s="371" t="s">
        <v>1866</v>
      </c>
      <c r="F749" s="376" t="s">
        <v>23</v>
      </c>
      <c r="G749" s="377"/>
      <c r="H749" s="372" t="s">
        <v>2165</v>
      </c>
      <c r="I749" s="373" t="s">
        <v>2165</v>
      </c>
      <c r="J749" s="374">
        <v>1588.9</v>
      </c>
      <c r="K749" s="378">
        <v>7001282065</v>
      </c>
      <c r="L749" s="379">
        <v>8.8463717036943793E-2</v>
      </c>
    </row>
    <row r="750" spans="1:12" ht="30" x14ac:dyDescent="0.25">
      <c r="A750" s="375" t="s">
        <v>916</v>
      </c>
      <c r="B750" s="376" t="s">
        <v>916</v>
      </c>
      <c r="C750" s="370" t="s">
        <v>2165</v>
      </c>
      <c r="D750" s="370" t="s">
        <v>2165</v>
      </c>
      <c r="E750" s="371" t="s">
        <v>1867</v>
      </c>
      <c r="F750" s="376" t="s">
        <v>23</v>
      </c>
      <c r="G750" s="377"/>
      <c r="H750" s="372" t="s">
        <v>2165</v>
      </c>
      <c r="I750" s="373" t="s">
        <v>2165</v>
      </c>
      <c r="J750" s="374">
        <v>2383.6999999999998</v>
      </c>
      <c r="K750" s="378">
        <v>7001282066</v>
      </c>
      <c r="L750" s="379">
        <v>5.8967151906699676E-2</v>
      </c>
    </row>
    <row r="751" spans="1:12" s="10" customFormat="1" x14ac:dyDescent="0.25">
      <c r="A751" s="34" t="s">
        <v>1115</v>
      </c>
      <c r="B751" s="174" t="s">
        <v>2165</v>
      </c>
      <c r="C751" s="383" t="s">
        <v>2165</v>
      </c>
      <c r="D751" s="383" t="s">
        <v>2165</v>
      </c>
      <c r="E751" s="384" t="s">
        <v>582</v>
      </c>
      <c r="F751" s="174"/>
      <c r="G751" s="175"/>
      <c r="H751" s="385" t="s">
        <v>2165</v>
      </c>
      <c r="I751" s="386" t="s">
        <v>2165</v>
      </c>
      <c r="J751" s="387" t="s">
        <v>2165</v>
      </c>
      <c r="K751" s="282" t="s">
        <v>2165</v>
      </c>
      <c r="L751" s="285" t="s">
        <v>2165</v>
      </c>
    </row>
    <row r="752" spans="1:12" ht="30" x14ac:dyDescent="0.25">
      <c r="A752" s="375" t="s">
        <v>917</v>
      </c>
      <c r="B752" s="376" t="s">
        <v>917</v>
      </c>
      <c r="C752" s="370" t="s">
        <v>2165</v>
      </c>
      <c r="D752" s="370" t="s">
        <v>2165</v>
      </c>
      <c r="E752" s="371" t="s">
        <v>1868</v>
      </c>
      <c r="F752" s="376" t="s">
        <v>23</v>
      </c>
      <c r="G752" s="377"/>
      <c r="H752" s="372" t="s">
        <v>2165</v>
      </c>
      <c r="I752" s="373" t="s">
        <v>2165</v>
      </c>
      <c r="J752" s="374">
        <v>2325.1100000000006</v>
      </c>
      <c r="K752" s="378">
        <v>7001282075</v>
      </c>
      <c r="L752" s="379">
        <v>0.41452662454679551</v>
      </c>
    </row>
    <row r="753" spans="1:12" ht="30" x14ac:dyDescent="0.25">
      <c r="A753" s="375" t="s">
        <v>918</v>
      </c>
      <c r="B753" s="376" t="s">
        <v>918</v>
      </c>
      <c r="C753" s="370" t="s">
        <v>2165</v>
      </c>
      <c r="D753" s="370" t="s">
        <v>2165</v>
      </c>
      <c r="E753" s="371" t="s">
        <v>1869</v>
      </c>
      <c r="F753" s="376" t="s">
        <v>23</v>
      </c>
      <c r="G753" s="377"/>
      <c r="H753" s="372" t="s">
        <v>2165</v>
      </c>
      <c r="I753" s="373" t="s">
        <v>2165</v>
      </c>
      <c r="J753" s="374">
        <v>2339.8100000000004</v>
      </c>
      <c r="K753" s="378">
        <v>7001282074</v>
      </c>
      <c r="L753" s="379">
        <v>0.41192233557425595</v>
      </c>
    </row>
    <row r="754" spans="1:12" ht="30" x14ac:dyDescent="0.25">
      <c r="A754" s="375" t="s">
        <v>919</v>
      </c>
      <c r="B754" s="376" t="s">
        <v>919</v>
      </c>
      <c r="C754" s="370" t="s">
        <v>2165</v>
      </c>
      <c r="D754" s="370" t="s">
        <v>2165</v>
      </c>
      <c r="E754" s="371" t="s">
        <v>1870</v>
      </c>
      <c r="F754" s="376" t="s">
        <v>23</v>
      </c>
      <c r="G754" s="377"/>
      <c r="H754" s="372" t="s">
        <v>2165</v>
      </c>
      <c r="I754" s="373" t="s">
        <v>2165</v>
      </c>
      <c r="J754" s="374">
        <v>2381.4000000000005</v>
      </c>
      <c r="K754" s="378">
        <v>7001282073</v>
      </c>
      <c r="L754" s="379">
        <v>0.40472831107751733</v>
      </c>
    </row>
    <row r="755" spans="1:12" ht="30" x14ac:dyDescent="0.25">
      <c r="A755" s="375" t="s">
        <v>920</v>
      </c>
      <c r="B755" s="376" t="s">
        <v>920</v>
      </c>
      <c r="C755" s="370" t="s">
        <v>2165</v>
      </c>
      <c r="D755" s="370" t="s">
        <v>2165</v>
      </c>
      <c r="E755" s="371" t="s">
        <v>1871</v>
      </c>
      <c r="F755" s="376" t="s">
        <v>23</v>
      </c>
      <c r="G755" s="377"/>
      <c r="H755" s="372" t="s">
        <v>2165</v>
      </c>
      <c r="I755" s="373" t="s">
        <v>2165</v>
      </c>
      <c r="J755" s="374">
        <v>2381.4000000000005</v>
      </c>
      <c r="K755" s="378">
        <v>7001282072</v>
      </c>
      <c r="L755" s="379">
        <v>0.40472831107751733</v>
      </c>
    </row>
    <row r="756" spans="1:12" ht="30" x14ac:dyDescent="0.25">
      <c r="A756" s="375" t="s">
        <v>921</v>
      </c>
      <c r="B756" s="376" t="s">
        <v>921</v>
      </c>
      <c r="C756" s="370" t="s">
        <v>2165</v>
      </c>
      <c r="D756" s="370" t="s">
        <v>2165</v>
      </c>
      <c r="E756" s="371" t="s">
        <v>1872</v>
      </c>
      <c r="F756" s="376" t="s">
        <v>23</v>
      </c>
      <c r="G756" s="377"/>
      <c r="H756" s="372" t="s">
        <v>2165</v>
      </c>
      <c r="I756" s="373" t="s">
        <v>2165</v>
      </c>
      <c r="J756" s="374">
        <v>2381.4000000000005</v>
      </c>
      <c r="K756" s="378">
        <v>7001282071</v>
      </c>
      <c r="L756" s="379">
        <v>0.40472831107751733</v>
      </c>
    </row>
    <row r="757" spans="1:12" ht="30" x14ac:dyDescent="0.25">
      <c r="A757" s="375" t="s">
        <v>922</v>
      </c>
      <c r="B757" s="376" t="s">
        <v>922</v>
      </c>
      <c r="C757" s="370" t="s">
        <v>2165</v>
      </c>
      <c r="D757" s="370" t="s">
        <v>2165</v>
      </c>
      <c r="E757" s="371" t="s">
        <v>1873</v>
      </c>
      <c r="F757" s="376" t="s">
        <v>23</v>
      </c>
      <c r="G757" s="377"/>
      <c r="H757" s="372" t="s">
        <v>2165</v>
      </c>
      <c r="I757" s="373" t="s">
        <v>2165</v>
      </c>
      <c r="J757" s="374">
        <v>2662.0800000000004</v>
      </c>
      <c r="K757" s="378">
        <v>7001282029</v>
      </c>
      <c r="L757" s="379">
        <v>0.36205523500420717</v>
      </c>
    </row>
    <row r="758" spans="1:12" s="10" customFormat="1" x14ac:dyDescent="0.25">
      <c r="A758" s="34" t="s">
        <v>1116</v>
      </c>
      <c r="B758" s="174" t="s">
        <v>2165</v>
      </c>
      <c r="C758" s="383" t="s">
        <v>2165</v>
      </c>
      <c r="D758" s="383" t="s">
        <v>2165</v>
      </c>
      <c r="E758" s="384" t="s">
        <v>583</v>
      </c>
      <c r="F758" s="174"/>
      <c r="G758" s="175"/>
      <c r="H758" s="385" t="s">
        <v>2165</v>
      </c>
      <c r="I758" s="386" t="s">
        <v>2165</v>
      </c>
      <c r="J758" s="387" t="s">
        <v>2165</v>
      </c>
      <c r="K758" s="282" t="s">
        <v>2165</v>
      </c>
      <c r="L758" s="285" t="s">
        <v>2165</v>
      </c>
    </row>
    <row r="759" spans="1:12" ht="69" customHeight="1" x14ac:dyDescent="0.25">
      <c r="A759" s="375" t="s">
        <v>923</v>
      </c>
      <c r="B759" s="376" t="s">
        <v>923</v>
      </c>
      <c r="C759" s="370" t="s">
        <v>2165</v>
      </c>
      <c r="D759" s="370" t="s">
        <v>2165</v>
      </c>
      <c r="E759" s="371" t="s">
        <v>1874</v>
      </c>
      <c r="F759" s="376" t="s">
        <v>23</v>
      </c>
      <c r="G759" s="377"/>
      <c r="H759" s="372" t="s">
        <v>2165</v>
      </c>
      <c r="I759" s="373" t="s">
        <v>2165</v>
      </c>
      <c r="J759" s="374">
        <v>2013.64</v>
      </c>
      <c r="K759" s="378">
        <v>7001601741</v>
      </c>
      <c r="L759" s="379">
        <v>0.39338211409077856</v>
      </c>
    </row>
    <row r="760" spans="1:12" ht="30" x14ac:dyDescent="0.25">
      <c r="A760" s="375" t="s">
        <v>924</v>
      </c>
      <c r="B760" s="376" t="s">
        <v>924</v>
      </c>
      <c r="C760" s="370" t="s">
        <v>2165</v>
      </c>
      <c r="D760" s="370" t="s">
        <v>2165</v>
      </c>
      <c r="E760" s="371" t="s">
        <v>1875</v>
      </c>
      <c r="F760" s="376" t="s">
        <v>23</v>
      </c>
      <c r="G760" s="377"/>
      <c r="H760" s="372" t="s">
        <v>2165</v>
      </c>
      <c r="I760" s="373" t="s">
        <v>2165</v>
      </c>
      <c r="J760" s="374">
        <v>2294.52</v>
      </c>
      <c r="K760" s="378">
        <v>7001601742</v>
      </c>
      <c r="L760" s="379">
        <v>0.34522687107445366</v>
      </c>
    </row>
    <row r="761" spans="1:12" ht="30" x14ac:dyDescent="0.25">
      <c r="A761" s="375" t="s">
        <v>925</v>
      </c>
      <c r="B761" s="376" t="s">
        <v>925</v>
      </c>
      <c r="C761" s="370" t="s">
        <v>2165</v>
      </c>
      <c r="D761" s="370" t="s">
        <v>2165</v>
      </c>
      <c r="E761" s="371" t="s">
        <v>1876</v>
      </c>
      <c r="F761" s="376" t="s">
        <v>23</v>
      </c>
      <c r="G761" s="377"/>
      <c r="H761" s="372" t="s">
        <v>2165</v>
      </c>
      <c r="I761" s="373" t="s">
        <v>2165</v>
      </c>
      <c r="J761" s="374">
        <v>2460.4899999999998</v>
      </c>
      <c r="K761" s="378">
        <v>7001601743</v>
      </c>
      <c r="L761" s="379">
        <v>0.32193992262425591</v>
      </c>
    </row>
    <row r="762" spans="1:12" ht="30" x14ac:dyDescent="0.25">
      <c r="A762" s="375" t="s">
        <v>926</v>
      </c>
      <c r="B762" s="376" t="s">
        <v>926</v>
      </c>
      <c r="C762" s="370" t="s">
        <v>2165</v>
      </c>
      <c r="D762" s="370" t="s">
        <v>2165</v>
      </c>
      <c r="E762" s="371" t="s">
        <v>1877</v>
      </c>
      <c r="F762" s="376" t="s">
        <v>23</v>
      </c>
      <c r="G762" s="377"/>
      <c r="H762" s="372" t="s">
        <v>2165</v>
      </c>
      <c r="I762" s="373" t="s">
        <v>2165</v>
      </c>
      <c r="J762" s="374">
        <v>2289.5500000000002</v>
      </c>
      <c r="K762" s="378">
        <v>7001601745</v>
      </c>
      <c r="L762" s="379">
        <v>0.36376578813205884</v>
      </c>
    </row>
    <row r="763" spans="1:12" ht="30" x14ac:dyDescent="0.25">
      <c r="A763" s="375" t="s">
        <v>927</v>
      </c>
      <c r="B763" s="376" t="s">
        <v>927</v>
      </c>
      <c r="C763" s="370" t="s">
        <v>2165</v>
      </c>
      <c r="D763" s="370" t="s">
        <v>2165</v>
      </c>
      <c r="E763" s="371" t="s">
        <v>1878</v>
      </c>
      <c r="F763" s="376" t="s">
        <v>23</v>
      </c>
      <c r="G763" s="377"/>
      <c r="H763" s="372" t="s">
        <v>2165</v>
      </c>
      <c r="I763" s="373" t="s">
        <v>2165</v>
      </c>
      <c r="J763" s="374">
        <v>2851.31</v>
      </c>
      <c r="K763" s="378">
        <v>7001601746</v>
      </c>
      <c r="L763" s="379">
        <v>0.29209730271971673</v>
      </c>
    </row>
    <row r="764" spans="1:12" ht="30" x14ac:dyDescent="0.25">
      <c r="A764" s="375" t="s">
        <v>928</v>
      </c>
      <c r="B764" s="376" t="s">
        <v>928</v>
      </c>
      <c r="C764" s="370" t="s">
        <v>2165</v>
      </c>
      <c r="D764" s="370" t="s">
        <v>2165</v>
      </c>
      <c r="E764" s="371" t="s">
        <v>1879</v>
      </c>
      <c r="F764" s="376" t="s">
        <v>23</v>
      </c>
      <c r="G764" s="377"/>
      <c r="H764" s="372" t="s">
        <v>2165</v>
      </c>
      <c r="I764" s="373" t="s">
        <v>2165</v>
      </c>
      <c r="J764" s="374">
        <v>3183.25</v>
      </c>
      <c r="K764" s="378">
        <v>7001601747</v>
      </c>
      <c r="L764" s="379">
        <v>0.26163825028438087</v>
      </c>
    </row>
    <row r="765" spans="1:12" ht="30" x14ac:dyDescent="0.25">
      <c r="A765" s="375" t="s">
        <v>929</v>
      </c>
      <c r="B765" s="376" t="s">
        <v>929</v>
      </c>
      <c r="C765" s="370" t="s">
        <v>2165</v>
      </c>
      <c r="D765" s="370" t="s">
        <v>2165</v>
      </c>
      <c r="E765" s="371" t="s">
        <v>1880</v>
      </c>
      <c r="F765" s="376" t="s">
        <v>23</v>
      </c>
      <c r="G765" s="377"/>
      <c r="H765" s="372" t="s">
        <v>2165</v>
      </c>
      <c r="I765" s="373" t="s">
        <v>2165</v>
      </c>
      <c r="J765" s="374">
        <v>2118.63</v>
      </c>
      <c r="K765" s="378">
        <v>7001601749</v>
      </c>
      <c r="L765" s="379">
        <v>0.51138706935106726</v>
      </c>
    </row>
    <row r="766" spans="1:12" ht="30" x14ac:dyDescent="0.25">
      <c r="A766" s="375" t="s">
        <v>930</v>
      </c>
      <c r="B766" s="376" t="s">
        <v>930</v>
      </c>
      <c r="C766" s="370" t="s">
        <v>2165</v>
      </c>
      <c r="D766" s="370" t="s">
        <v>2165</v>
      </c>
      <c r="E766" s="371" t="s">
        <v>1881</v>
      </c>
      <c r="F766" s="376" t="s">
        <v>23</v>
      </c>
      <c r="G766" s="377"/>
      <c r="H766" s="372" t="s">
        <v>2165</v>
      </c>
      <c r="I766" s="373" t="s">
        <v>2165</v>
      </c>
      <c r="J766" s="374">
        <v>2118.63</v>
      </c>
      <c r="K766" s="378">
        <v>7001601750</v>
      </c>
      <c r="L766" s="379">
        <v>0.51138706935106726</v>
      </c>
    </row>
    <row r="767" spans="1:12" ht="30" x14ac:dyDescent="0.25">
      <c r="A767" s="375" t="s">
        <v>931</v>
      </c>
      <c r="B767" s="376" t="s">
        <v>931</v>
      </c>
      <c r="C767" s="370" t="s">
        <v>2165</v>
      </c>
      <c r="D767" s="370" t="s">
        <v>2165</v>
      </c>
      <c r="E767" s="371" t="s">
        <v>1882</v>
      </c>
      <c r="F767" s="376" t="s">
        <v>23</v>
      </c>
      <c r="G767" s="377"/>
      <c r="H767" s="372" t="s">
        <v>2165</v>
      </c>
      <c r="I767" s="373" t="s">
        <v>2165</v>
      </c>
      <c r="J767" s="374">
        <v>2145.5100000000002</v>
      </c>
      <c r="K767" s="378">
        <v>7001601751</v>
      </c>
      <c r="L767" s="379">
        <v>0.50498016170479354</v>
      </c>
    </row>
    <row r="768" spans="1:12" ht="30" x14ac:dyDescent="0.25">
      <c r="A768" s="375" t="s">
        <v>932</v>
      </c>
      <c r="B768" s="376" t="s">
        <v>932</v>
      </c>
      <c r="C768" s="370" t="s">
        <v>2165</v>
      </c>
      <c r="D768" s="370" t="s">
        <v>2165</v>
      </c>
      <c r="E768" s="371" t="s">
        <v>1883</v>
      </c>
      <c r="F768" s="376" t="s">
        <v>23</v>
      </c>
      <c r="G768" s="377"/>
      <c r="H768" s="372" t="s">
        <v>2165</v>
      </c>
      <c r="I768" s="373" t="s">
        <v>2165</v>
      </c>
      <c r="J768" s="374">
        <v>2145.5100000000002</v>
      </c>
      <c r="K768" s="378">
        <v>7001601752</v>
      </c>
      <c r="L768" s="379">
        <v>0.50498016170479354</v>
      </c>
    </row>
    <row r="769" spans="1:12" ht="30" x14ac:dyDescent="0.25">
      <c r="A769" s="375" t="s">
        <v>933</v>
      </c>
      <c r="B769" s="376" t="s">
        <v>933</v>
      </c>
      <c r="C769" s="370" t="s">
        <v>2165</v>
      </c>
      <c r="D769" s="370" t="s">
        <v>2165</v>
      </c>
      <c r="E769" s="371" t="s">
        <v>1884</v>
      </c>
      <c r="F769" s="376" t="s">
        <v>23</v>
      </c>
      <c r="G769" s="377"/>
      <c r="H769" s="372" t="s">
        <v>2165</v>
      </c>
      <c r="I769" s="373" t="s">
        <v>2165</v>
      </c>
      <c r="J769" s="374">
        <v>2563.6999999999998</v>
      </c>
      <c r="K769" s="378">
        <v>7001601744</v>
      </c>
      <c r="L769" s="379">
        <v>0.30897919421841691</v>
      </c>
    </row>
    <row r="770" spans="1:12" ht="30" x14ac:dyDescent="0.25">
      <c r="A770" s="375" t="s">
        <v>934</v>
      </c>
      <c r="B770" s="376" t="s">
        <v>934</v>
      </c>
      <c r="C770" s="370" t="s">
        <v>2165</v>
      </c>
      <c r="D770" s="370" t="s">
        <v>2165</v>
      </c>
      <c r="E770" s="371" t="s">
        <v>1885</v>
      </c>
      <c r="F770" s="376" t="s">
        <v>23</v>
      </c>
      <c r="G770" s="377"/>
      <c r="H770" s="372" t="s">
        <v>2165</v>
      </c>
      <c r="I770" s="373" t="s">
        <v>2165</v>
      </c>
      <c r="J770" s="374">
        <v>3389.6699999999996</v>
      </c>
      <c r="K770" s="378">
        <v>7001601748</v>
      </c>
      <c r="L770" s="379">
        <v>0.24570532241125406</v>
      </c>
    </row>
    <row r="771" spans="1:12" s="10" customFormat="1" x14ac:dyDescent="0.25">
      <c r="A771" s="34" t="s">
        <v>1117</v>
      </c>
      <c r="B771" s="174" t="s">
        <v>2165</v>
      </c>
      <c r="C771" s="383" t="s">
        <v>2165</v>
      </c>
      <c r="D771" s="383" t="s">
        <v>2165</v>
      </c>
      <c r="E771" s="384" t="s">
        <v>584</v>
      </c>
      <c r="F771" s="174"/>
      <c r="G771" s="175"/>
      <c r="H771" s="385" t="s">
        <v>2165</v>
      </c>
      <c r="I771" s="386" t="s">
        <v>2165</v>
      </c>
      <c r="J771" s="387" t="s">
        <v>2165</v>
      </c>
      <c r="K771" s="282" t="s">
        <v>2165</v>
      </c>
      <c r="L771" s="285" t="s">
        <v>2165</v>
      </c>
    </row>
    <row r="772" spans="1:12" x14ac:dyDescent="0.25">
      <c r="A772" s="375" t="s">
        <v>935</v>
      </c>
      <c r="B772" s="376" t="s">
        <v>935</v>
      </c>
      <c r="C772" s="370" t="s">
        <v>2165</v>
      </c>
      <c r="D772" s="370" t="s">
        <v>2165</v>
      </c>
      <c r="E772" s="371" t="s">
        <v>1886</v>
      </c>
      <c r="F772" s="376" t="s">
        <v>23</v>
      </c>
      <c r="G772" s="377"/>
      <c r="H772" s="372" t="s">
        <v>2165</v>
      </c>
      <c r="I772" s="373" t="s">
        <v>2165</v>
      </c>
      <c r="J772" s="374">
        <v>31.82</v>
      </c>
      <c r="K772" s="378">
        <v>7001210843</v>
      </c>
      <c r="L772" s="379">
        <v>0</v>
      </c>
    </row>
    <row r="773" spans="1:12" x14ac:dyDescent="0.25">
      <c r="A773" s="375" t="s">
        <v>936</v>
      </c>
      <c r="B773" s="376" t="s">
        <v>936</v>
      </c>
      <c r="C773" s="370" t="s">
        <v>2165</v>
      </c>
      <c r="D773" s="370" t="s">
        <v>2165</v>
      </c>
      <c r="E773" s="371" t="s">
        <v>1887</v>
      </c>
      <c r="F773" s="376" t="s">
        <v>23</v>
      </c>
      <c r="G773" s="377"/>
      <c r="H773" s="372" t="s">
        <v>2165</v>
      </c>
      <c r="I773" s="373" t="s">
        <v>2165</v>
      </c>
      <c r="J773" s="374">
        <v>33.89</v>
      </c>
      <c r="K773" s="378">
        <v>7001210844</v>
      </c>
      <c r="L773" s="379">
        <v>0</v>
      </c>
    </row>
    <row r="774" spans="1:12" x14ac:dyDescent="0.25">
      <c r="A774" s="375" t="s">
        <v>937</v>
      </c>
      <c r="B774" s="376" t="s">
        <v>937</v>
      </c>
      <c r="C774" s="370" t="s">
        <v>2165</v>
      </c>
      <c r="D774" s="370" t="s">
        <v>2165</v>
      </c>
      <c r="E774" s="371" t="s">
        <v>1888</v>
      </c>
      <c r="F774" s="376" t="s">
        <v>23</v>
      </c>
      <c r="G774" s="377"/>
      <c r="H774" s="372" t="s">
        <v>2165</v>
      </c>
      <c r="I774" s="373" t="s">
        <v>2165</v>
      </c>
      <c r="J774" s="374">
        <v>33.06</v>
      </c>
      <c r="K774" s="378">
        <v>7001210845</v>
      </c>
      <c r="L774" s="379">
        <v>0</v>
      </c>
    </row>
    <row r="775" spans="1:12" x14ac:dyDescent="0.25">
      <c r="A775" s="375" t="s">
        <v>938</v>
      </c>
      <c r="B775" s="376" t="s">
        <v>938</v>
      </c>
      <c r="C775" s="370" t="s">
        <v>2165</v>
      </c>
      <c r="D775" s="370" t="s">
        <v>2165</v>
      </c>
      <c r="E775" s="371" t="s">
        <v>1889</v>
      </c>
      <c r="F775" s="376" t="s">
        <v>23</v>
      </c>
      <c r="G775" s="377"/>
      <c r="H775" s="372" t="s">
        <v>2165</v>
      </c>
      <c r="I775" s="373" t="s">
        <v>2165</v>
      </c>
      <c r="J775" s="374">
        <v>33.64</v>
      </c>
      <c r="K775" s="378">
        <v>7001210846</v>
      </c>
      <c r="L775" s="379">
        <v>0</v>
      </c>
    </row>
    <row r="776" spans="1:12" x14ac:dyDescent="0.25">
      <c r="A776" s="375" t="s">
        <v>939</v>
      </c>
      <c r="B776" s="376" t="s">
        <v>939</v>
      </c>
      <c r="C776" s="370" t="s">
        <v>2165</v>
      </c>
      <c r="D776" s="370" t="s">
        <v>2165</v>
      </c>
      <c r="E776" s="371" t="s">
        <v>1890</v>
      </c>
      <c r="F776" s="376" t="s">
        <v>23</v>
      </c>
      <c r="G776" s="377"/>
      <c r="H776" s="372" t="s">
        <v>2165</v>
      </c>
      <c r="I776" s="373" t="s">
        <v>2165</v>
      </c>
      <c r="J776" s="374">
        <v>33.630000000000003</v>
      </c>
      <c r="K776" s="378">
        <v>7001210847</v>
      </c>
      <c r="L776" s="379">
        <v>0</v>
      </c>
    </row>
    <row r="777" spans="1:12" s="10" customFormat="1" x14ac:dyDescent="0.25">
      <c r="A777" s="34" t="s">
        <v>1118</v>
      </c>
      <c r="B777" s="174" t="s">
        <v>2165</v>
      </c>
      <c r="C777" s="383" t="s">
        <v>2165</v>
      </c>
      <c r="D777" s="383" t="s">
        <v>2165</v>
      </c>
      <c r="E777" s="384" t="s">
        <v>585</v>
      </c>
      <c r="F777" s="174"/>
      <c r="G777" s="175"/>
      <c r="H777" s="385" t="s">
        <v>2165</v>
      </c>
      <c r="I777" s="386" t="s">
        <v>2165</v>
      </c>
      <c r="J777" s="387" t="s">
        <v>2165</v>
      </c>
      <c r="K777" s="282" t="s">
        <v>2165</v>
      </c>
      <c r="L777" s="285" t="s">
        <v>2165</v>
      </c>
    </row>
    <row r="778" spans="1:12" ht="30" x14ac:dyDescent="0.25">
      <c r="A778" s="375" t="s">
        <v>940</v>
      </c>
      <c r="B778" s="376" t="s">
        <v>940</v>
      </c>
      <c r="C778" s="370" t="s">
        <v>2165</v>
      </c>
      <c r="D778" s="370" t="s">
        <v>2165</v>
      </c>
      <c r="E778" s="371" t="s">
        <v>1891</v>
      </c>
      <c r="F778" s="376" t="s">
        <v>23</v>
      </c>
      <c r="G778" s="377"/>
      <c r="H778" s="372" t="s">
        <v>2165</v>
      </c>
      <c r="I778" s="373" t="s">
        <v>2165</v>
      </c>
      <c r="J778" s="374">
        <v>2065.7800000000002</v>
      </c>
      <c r="K778" s="378">
        <v>7001282037</v>
      </c>
      <c r="L778" s="379">
        <v>6.8042095479673534E-2</v>
      </c>
    </row>
    <row r="779" spans="1:12" ht="30" x14ac:dyDescent="0.25">
      <c r="A779" s="375" t="s">
        <v>941</v>
      </c>
      <c r="B779" s="376" t="s">
        <v>941</v>
      </c>
      <c r="C779" s="370" t="s">
        <v>2165</v>
      </c>
      <c r="D779" s="370" t="s">
        <v>2165</v>
      </c>
      <c r="E779" s="371" t="s">
        <v>1892</v>
      </c>
      <c r="F779" s="376" t="s">
        <v>23</v>
      </c>
      <c r="G779" s="377"/>
      <c r="H779" s="372" t="s">
        <v>2165</v>
      </c>
      <c r="I779" s="373" t="s">
        <v>2165</v>
      </c>
      <c r="J779" s="374">
        <v>2224.7399999999998</v>
      </c>
      <c r="K779" s="378">
        <v>7001282040</v>
      </c>
      <c r="L779" s="379">
        <v>6.31804165880058E-2</v>
      </c>
    </row>
    <row r="780" spans="1:12" ht="30" x14ac:dyDescent="0.25">
      <c r="A780" s="375" t="s">
        <v>942</v>
      </c>
      <c r="B780" s="376" t="s">
        <v>942</v>
      </c>
      <c r="C780" s="370" t="s">
        <v>2165</v>
      </c>
      <c r="D780" s="370" t="s">
        <v>2165</v>
      </c>
      <c r="E780" s="371" t="s">
        <v>1893</v>
      </c>
      <c r="F780" s="376" t="s">
        <v>23</v>
      </c>
      <c r="G780" s="377"/>
      <c r="H780" s="372" t="s">
        <v>2165</v>
      </c>
      <c r="I780" s="373" t="s">
        <v>2165</v>
      </c>
      <c r="J780" s="374">
        <v>2383.6999999999998</v>
      </c>
      <c r="K780" s="378">
        <v>7001282044</v>
      </c>
      <c r="L780" s="379">
        <v>5.8967151906699676E-2</v>
      </c>
    </row>
    <row r="781" spans="1:12" s="10" customFormat="1" x14ac:dyDescent="0.25">
      <c r="A781" s="34" t="s">
        <v>1119</v>
      </c>
      <c r="B781" s="174" t="s">
        <v>2165</v>
      </c>
      <c r="C781" s="383" t="s">
        <v>2165</v>
      </c>
      <c r="D781" s="383" t="s">
        <v>2165</v>
      </c>
      <c r="E781" s="384" t="s">
        <v>586</v>
      </c>
      <c r="F781" s="174"/>
      <c r="G781" s="175"/>
      <c r="H781" s="385" t="s">
        <v>2165</v>
      </c>
      <c r="I781" s="386" t="s">
        <v>2165</v>
      </c>
      <c r="J781" s="387" t="s">
        <v>2165</v>
      </c>
      <c r="K781" s="282" t="s">
        <v>2165</v>
      </c>
      <c r="L781" s="285" t="s">
        <v>2165</v>
      </c>
    </row>
    <row r="782" spans="1:12" ht="30" x14ac:dyDescent="0.25">
      <c r="A782" s="375" t="s">
        <v>943</v>
      </c>
      <c r="B782" s="376" t="s">
        <v>943</v>
      </c>
      <c r="C782" s="370" t="s">
        <v>2165</v>
      </c>
      <c r="D782" s="370" t="s">
        <v>2165</v>
      </c>
      <c r="E782" s="371" t="s">
        <v>1894</v>
      </c>
      <c r="F782" s="376" t="s">
        <v>23</v>
      </c>
      <c r="G782" s="377"/>
      <c r="H782" s="372" t="s">
        <v>2165</v>
      </c>
      <c r="I782" s="373" t="s">
        <v>2165</v>
      </c>
      <c r="J782" s="374">
        <v>442.45000000000005</v>
      </c>
      <c r="K782" s="378">
        <v>7001282047</v>
      </c>
      <c r="L782" s="379">
        <v>0</v>
      </c>
    </row>
    <row r="783" spans="1:12" ht="30" x14ac:dyDescent="0.25">
      <c r="A783" s="375" t="s">
        <v>944</v>
      </c>
      <c r="B783" s="376" t="s">
        <v>944</v>
      </c>
      <c r="C783" s="370" t="s">
        <v>2165</v>
      </c>
      <c r="D783" s="370" t="s">
        <v>2165</v>
      </c>
      <c r="E783" s="371" t="s">
        <v>1895</v>
      </c>
      <c r="F783" s="376" t="s">
        <v>23</v>
      </c>
      <c r="G783" s="377"/>
      <c r="H783" s="372" t="s">
        <v>2165</v>
      </c>
      <c r="I783" s="373" t="s">
        <v>2165</v>
      </c>
      <c r="J783" s="374">
        <v>545.21</v>
      </c>
      <c r="K783" s="378">
        <v>7001282049</v>
      </c>
      <c r="L783" s="379">
        <v>0</v>
      </c>
    </row>
    <row r="784" spans="1:12" ht="30" x14ac:dyDescent="0.25">
      <c r="A784" s="375" t="s">
        <v>945</v>
      </c>
      <c r="B784" s="376" t="s">
        <v>945</v>
      </c>
      <c r="C784" s="370" t="s">
        <v>2165</v>
      </c>
      <c r="D784" s="370" t="s">
        <v>2165</v>
      </c>
      <c r="E784" s="371" t="s">
        <v>1896</v>
      </c>
      <c r="F784" s="376" t="s">
        <v>23</v>
      </c>
      <c r="G784" s="377"/>
      <c r="H784" s="372" t="s">
        <v>2165</v>
      </c>
      <c r="I784" s="373" t="s">
        <v>2165</v>
      </c>
      <c r="J784" s="374">
        <v>887.59</v>
      </c>
      <c r="K784" s="378">
        <v>7001282050</v>
      </c>
      <c r="L784" s="379">
        <v>0</v>
      </c>
    </row>
    <row r="785" spans="1:12" s="10" customFormat="1" x14ac:dyDescent="0.25">
      <c r="A785" s="34" t="s">
        <v>1120</v>
      </c>
      <c r="B785" s="174" t="s">
        <v>2165</v>
      </c>
      <c r="C785" s="383" t="s">
        <v>2165</v>
      </c>
      <c r="D785" s="383" t="s">
        <v>2165</v>
      </c>
      <c r="E785" s="384" t="s">
        <v>587</v>
      </c>
      <c r="F785" s="174"/>
      <c r="G785" s="175"/>
      <c r="H785" s="385" t="s">
        <v>2165</v>
      </c>
      <c r="I785" s="386" t="s">
        <v>2165</v>
      </c>
      <c r="J785" s="387" t="s">
        <v>2165</v>
      </c>
      <c r="K785" s="282" t="s">
        <v>2165</v>
      </c>
      <c r="L785" s="285" t="s">
        <v>2165</v>
      </c>
    </row>
    <row r="786" spans="1:12" x14ac:dyDescent="0.25">
      <c r="A786" s="375" t="s">
        <v>946</v>
      </c>
      <c r="B786" s="376" t="s">
        <v>946</v>
      </c>
      <c r="C786" s="370" t="s">
        <v>2165</v>
      </c>
      <c r="D786" s="370" t="s">
        <v>2165</v>
      </c>
      <c r="E786" s="371" t="s">
        <v>1897</v>
      </c>
      <c r="F786" s="376" t="s">
        <v>23</v>
      </c>
      <c r="G786" s="377"/>
      <c r="H786" s="372" t="s">
        <v>2165</v>
      </c>
      <c r="I786" s="373" t="s">
        <v>2165</v>
      </c>
      <c r="J786" s="374">
        <v>624.75</v>
      </c>
      <c r="K786" s="378">
        <v>7001282569</v>
      </c>
      <c r="L786" s="379">
        <v>0</v>
      </c>
    </row>
    <row r="787" spans="1:12" x14ac:dyDescent="0.25">
      <c r="A787" s="375" t="s">
        <v>947</v>
      </c>
      <c r="B787" s="376" t="s">
        <v>947</v>
      </c>
      <c r="C787" s="370" t="s">
        <v>2165</v>
      </c>
      <c r="D787" s="370" t="s">
        <v>2165</v>
      </c>
      <c r="E787" s="371" t="s">
        <v>1898</v>
      </c>
      <c r="F787" s="376" t="s">
        <v>23</v>
      </c>
      <c r="G787" s="377"/>
      <c r="H787" s="372" t="s">
        <v>2165</v>
      </c>
      <c r="I787" s="373" t="s">
        <v>2165</v>
      </c>
      <c r="J787" s="374">
        <v>812.17</v>
      </c>
      <c r="K787" s="378">
        <v>7001282570</v>
      </c>
      <c r="L787" s="379">
        <v>0</v>
      </c>
    </row>
    <row r="788" spans="1:12" x14ac:dyDescent="0.25">
      <c r="A788" s="375" t="s">
        <v>948</v>
      </c>
      <c r="B788" s="376" t="s">
        <v>948</v>
      </c>
      <c r="C788" s="370" t="s">
        <v>2165</v>
      </c>
      <c r="D788" s="370" t="s">
        <v>2165</v>
      </c>
      <c r="E788" s="371" t="s">
        <v>1899</v>
      </c>
      <c r="F788" s="376" t="s">
        <v>23</v>
      </c>
      <c r="G788" s="377"/>
      <c r="H788" s="372" t="s">
        <v>2165</v>
      </c>
      <c r="I788" s="373" t="s">
        <v>2165</v>
      </c>
      <c r="J788" s="374">
        <v>1249.5</v>
      </c>
      <c r="K788" s="378">
        <v>7001282571</v>
      </c>
      <c r="L788" s="379">
        <v>0</v>
      </c>
    </row>
    <row r="789" spans="1:12" x14ac:dyDescent="0.25">
      <c r="A789" s="375" t="s">
        <v>949</v>
      </c>
      <c r="B789" s="376" t="s">
        <v>949</v>
      </c>
      <c r="C789" s="370" t="s">
        <v>2165</v>
      </c>
      <c r="D789" s="370" t="s">
        <v>2165</v>
      </c>
      <c r="E789" s="371" t="s">
        <v>1900</v>
      </c>
      <c r="F789" s="376" t="s">
        <v>23</v>
      </c>
      <c r="G789" s="377"/>
      <c r="H789" s="372" t="s">
        <v>2165</v>
      </c>
      <c r="I789" s="373" t="s">
        <v>2165</v>
      </c>
      <c r="J789" s="374">
        <v>1999.1999999999998</v>
      </c>
      <c r="K789" s="378">
        <v>7001282572</v>
      </c>
      <c r="L789" s="379">
        <v>0</v>
      </c>
    </row>
    <row r="790" spans="1:12" x14ac:dyDescent="0.25">
      <c r="A790" s="375" t="s">
        <v>950</v>
      </c>
      <c r="B790" s="376" t="s">
        <v>950</v>
      </c>
      <c r="C790" s="370" t="s">
        <v>2165</v>
      </c>
      <c r="D790" s="370" t="s">
        <v>2165</v>
      </c>
      <c r="E790" s="371" t="s">
        <v>1901</v>
      </c>
      <c r="F790" s="376" t="s">
        <v>23</v>
      </c>
      <c r="G790" s="377"/>
      <c r="H790" s="372" t="s">
        <v>2165</v>
      </c>
      <c r="I790" s="373" t="s">
        <v>2165</v>
      </c>
      <c r="J790" s="374">
        <v>3793.6</v>
      </c>
      <c r="K790" s="378">
        <v>7001282573</v>
      </c>
      <c r="L790" s="379">
        <v>0</v>
      </c>
    </row>
    <row r="791" spans="1:12" x14ac:dyDescent="0.25">
      <c r="A791" s="375" t="s">
        <v>951</v>
      </c>
      <c r="B791" s="376" t="s">
        <v>951</v>
      </c>
      <c r="C791" s="370" t="s">
        <v>2165</v>
      </c>
      <c r="D791" s="370" t="s">
        <v>2165</v>
      </c>
      <c r="E791" s="371" t="s">
        <v>1902</v>
      </c>
      <c r="F791" s="376" t="s">
        <v>23</v>
      </c>
      <c r="G791" s="377"/>
      <c r="H791" s="372" t="s">
        <v>2165</v>
      </c>
      <c r="I791" s="373" t="s">
        <v>2165</v>
      </c>
      <c r="J791" s="374">
        <v>7200.15</v>
      </c>
      <c r="K791" s="378">
        <v>7001282574</v>
      </c>
      <c r="L791" s="379">
        <v>0</v>
      </c>
    </row>
    <row r="792" spans="1:12" x14ac:dyDescent="0.25">
      <c r="A792" s="375" t="s">
        <v>952</v>
      </c>
      <c r="B792" s="376" t="s">
        <v>952</v>
      </c>
      <c r="C792" s="370" t="s">
        <v>2165</v>
      </c>
      <c r="D792" s="370" t="s">
        <v>2165</v>
      </c>
      <c r="E792" s="371" t="s">
        <v>1903</v>
      </c>
      <c r="F792" s="376" t="s">
        <v>23</v>
      </c>
      <c r="G792" s="377"/>
      <c r="H792" s="372" t="s">
        <v>2165</v>
      </c>
      <c r="I792" s="373" t="s">
        <v>2165</v>
      </c>
      <c r="J792" s="374">
        <v>13743.7</v>
      </c>
      <c r="K792" s="378">
        <v>7001282575</v>
      </c>
      <c r="L792" s="379">
        <v>0</v>
      </c>
    </row>
    <row r="793" spans="1:12" x14ac:dyDescent="0.25">
      <c r="A793" s="375" t="s">
        <v>953</v>
      </c>
      <c r="B793" s="376" t="s">
        <v>953</v>
      </c>
      <c r="C793" s="370" t="s">
        <v>2165</v>
      </c>
      <c r="D793" s="370" t="s">
        <v>2165</v>
      </c>
      <c r="E793" s="371" t="s">
        <v>1904</v>
      </c>
      <c r="F793" s="376" t="s">
        <v>23</v>
      </c>
      <c r="G793" s="377"/>
      <c r="H793" s="372" t="s">
        <v>2165</v>
      </c>
      <c r="I793" s="373" t="s">
        <v>2165</v>
      </c>
      <c r="J793" s="374">
        <v>22961.3</v>
      </c>
      <c r="K793" s="378">
        <v>7001282576</v>
      </c>
      <c r="L793" s="379">
        <v>0</v>
      </c>
    </row>
    <row r="794" spans="1:12" x14ac:dyDescent="0.25">
      <c r="A794" s="375" t="s">
        <v>954</v>
      </c>
      <c r="B794" s="376" t="s">
        <v>954</v>
      </c>
      <c r="C794" s="370" t="s">
        <v>2165</v>
      </c>
      <c r="D794" s="370" t="s">
        <v>2165</v>
      </c>
      <c r="E794" s="371" t="s">
        <v>1905</v>
      </c>
      <c r="F794" s="376" t="s">
        <v>23</v>
      </c>
      <c r="G794" s="377"/>
      <c r="H794" s="372" t="s">
        <v>2165</v>
      </c>
      <c r="I794" s="373" t="s">
        <v>2165</v>
      </c>
      <c r="J794" s="374">
        <v>1561.87</v>
      </c>
      <c r="K794" s="378">
        <v>7001282577</v>
      </c>
      <c r="L794" s="379">
        <v>0</v>
      </c>
    </row>
    <row r="795" spans="1:12" x14ac:dyDescent="0.25">
      <c r="A795" s="375" t="s">
        <v>955</v>
      </c>
      <c r="B795" s="376" t="s">
        <v>955</v>
      </c>
      <c r="C795" s="370" t="s">
        <v>2165</v>
      </c>
      <c r="D795" s="370" t="s">
        <v>2165</v>
      </c>
      <c r="E795" s="371" t="s">
        <v>1906</v>
      </c>
      <c r="F795" s="376" t="s">
        <v>23</v>
      </c>
      <c r="G795" s="377"/>
      <c r="H795" s="372" t="s">
        <v>2165</v>
      </c>
      <c r="I795" s="373" t="s">
        <v>2165</v>
      </c>
      <c r="J795" s="374">
        <v>2124.1499999999996</v>
      </c>
      <c r="K795" s="378">
        <v>7001282578</v>
      </c>
      <c r="L795" s="379">
        <v>0</v>
      </c>
    </row>
    <row r="796" spans="1:12" x14ac:dyDescent="0.25">
      <c r="A796" s="375" t="s">
        <v>956</v>
      </c>
      <c r="B796" s="376" t="s">
        <v>956</v>
      </c>
      <c r="C796" s="370" t="s">
        <v>2165</v>
      </c>
      <c r="D796" s="370" t="s">
        <v>2165</v>
      </c>
      <c r="E796" s="371" t="s">
        <v>1907</v>
      </c>
      <c r="F796" s="376" t="s">
        <v>23</v>
      </c>
      <c r="G796" s="377"/>
      <c r="H796" s="372" t="s">
        <v>2165</v>
      </c>
      <c r="I796" s="373" t="s">
        <v>2165</v>
      </c>
      <c r="J796" s="374">
        <v>2374.0500000000002</v>
      </c>
      <c r="K796" s="378">
        <v>7001282579</v>
      </c>
      <c r="L796" s="379">
        <v>0</v>
      </c>
    </row>
    <row r="797" spans="1:12" s="10" customFormat="1" x14ac:dyDescent="0.25">
      <c r="A797" s="34">
        <v>79</v>
      </c>
      <c r="B797" s="174" t="s">
        <v>2165</v>
      </c>
      <c r="C797" s="383" t="s">
        <v>2165</v>
      </c>
      <c r="D797" s="383" t="s">
        <v>2165</v>
      </c>
      <c r="E797" s="384" t="s">
        <v>588</v>
      </c>
      <c r="F797" s="174"/>
      <c r="G797" s="175"/>
      <c r="H797" s="385" t="s">
        <v>2165</v>
      </c>
      <c r="I797" s="386" t="s">
        <v>2165</v>
      </c>
      <c r="J797" s="387" t="s">
        <v>2165</v>
      </c>
      <c r="K797" s="282" t="s">
        <v>2165</v>
      </c>
      <c r="L797" s="285" t="s">
        <v>2165</v>
      </c>
    </row>
    <row r="798" spans="1:12" ht="30" x14ac:dyDescent="0.25">
      <c r="A798" s="375" t="s">
        <v>1313</v>
      </c>
      <c r="B798" s="376" t="s">
        <v>1313</v>
      </c>
      <c r="C798" s="370" t="s">
        <v>2165</v>
      </c>
      <c r="D798" s="370" t="s">
        <v>2165</v>
      </c>
      <c r="E798" s="371" t="s">
        <v>1908</v>
      </c>
      <c r="F798" s="376" t="s">
        <v>34</v>
      </c>
      <c r="G798" s="377"/>
      <c r="H798" s="372" t="s">
        <v>2165</v>
      </c>
      <c r="I798" s="373" t="s">
        <v>2165</v>
      </c>
      <c r="J798" s="374">
        <v>421</v>
      </c>
      <c r="K798" s="378">
        <v>7001290003</v>
      </c>
      <c r="L798" s="379">
        <v>0</v>
      </c>
    </row>
    <row r="799" spans="1:12" ht="30" x14ac:dyDescent="0.25">
      <c r="A799" s="375" t="s">
        <v>1314</v>
      </c>
      <c r="B799" s="376" t="s">
        <v>1314</v>
      </c>
      <c r="C799" s="370" t="s">
        <v>2165</v>
      </c>
      <c r="D799" s="370" t="s">
        <v>2165</v>
      </c>
      <c r="E799" s="371" t="s">
        <v>1909</v>
      </c>
      <c r="F799" s="376" t="s">
        <v>34</v>
      </c>
      <c r="G799" s="377"/>
      <c r="H799" s="372" t="s">
        <v>2165</v>
      </c>
      <c r="I799" s="373" t="s">
        <v>2165</v>
      </c>
      <c r="J799" s="374">
        <v>421</v>
      </c>
      <c r="K799" s="378">
        <v>7001290004</v>
      </c>
      <c r="L799" s="379">
        <v>0</v>
      </c>
    </row>
    <row r="800" spans="1:12" x14ac:dyDescent="0.25">
      <c r="A800" s="375" t="s">
        <v>1315</v>
      </c>
      <c r="B800" s="376" t="s">
        <v>1315</v>
      </c>
      <c r="C800" s="370" t="s">
        <v>2165</v>
      </c>
      <c r="D800" s="370" t="s">
        <v>2165</v>
      </c>
      <c r="E800" s="371" t="s">
        <v>1910</v>
      </c>
      <c r="F800" s="376" t="s">
        <v>34</v>
      </c>
      <c r="G800" s="377"/>
      <c r="H800" s="372" t="s">
        <v>2165</v>
      </c>
      <c r="I800" s="373" t="s">
        <v>2165</v>
      </c>
      <c r="J800" s="374">
        <v>54.879999999999995</v>
      </c>
      <c r="K800" s="378">
        <v>7001290005</v>
      </c>
      <c r="L800" s="379">
        <v>0</v>
      </c>
    </row>
    <row r="801" spans="1:12" x14ac:dyDescent="0.25">
      <c r="A801" s="375" t="s">
        <v>1316</v>
      </c>
      <c r="B801" s="376" t="s">
        <v>1316</v>
      </c>
      <c r="C801" s="370" t="s">
        <v>2165</v>
      </c>
      <c r="D801" s="370" t="s">
        <v>2165</v>
      </c>
      <c r="E801" s="371" t="s">
        <v>1911</v>
      </c>
      <c r="F801" s="376" t="s">
        <v>34</v>
      </c>
      <c r="G801" s="377"/>
      <c r="H801" s="372" t="s">
        <v>2165</v>
      </c>
      <c r="I801" s="373" t="s">
        <v>2165</v>
      </c>
      <c r="J801" s="374">
        <v>35.86</v>
      </c>
      <c r="K801" s="378">
        <v>7001290006</v>
      </c>
      <c r="L801" s="379">
        <v>0</v>
      </c>
    </row>
    <row r="802" spans="1:12" s="10" customFormat="1" x14ac:dyDescent="0.25">
      <c r="A802" s="34">
        <v>80</v>
      </c>
      <c r="B802" s="174" t="s">
        <v>2165</v>
      </c>
      <c r="C802" s="383" t="s">
        <v>2165</v>
      </c>
      <c r="D802" s="383" t="s">
        <v>2165</v>
      </c>
      <c r="E802" s="384" t="s">
        <v>589</v>
      </c>
      <c r="F802" s="174"/>
      <c r="G802" s="175"/>
      <c r="H802" s="385" t="s">
        <v>2165</v>
      </c>
      <c r="I802" s="386" t="s">
        <v>2165</v>
      </c>
      <c r="J802" s="387" t="s">
        <v>2165</v>
      </c>
      <c r="K802" s="282" t="s">
        <v>2165</v>
      </c>
      <c r="L802" s="285" t="s">
        <v>2165</v>
      </c>
    </row>
    <row r="803" spans="1:12" s="182" customFormat="1" ht="45" x14ac:dyDescent="0.25">
      <c r="A803" s="375" t="s">
        <v>2061</v>
      </c>
      <c r="B803" s="376" t="s">
        <v>2061</v>
      </c>
      <c r="C803" s="370" t="s">
        <v>2165</v>
      </c>
      <c r="D803" s="370" t="s">
        <v>2165</v>
      </c>
      <c r="E803" s="371" t="s">
        <v>2065</v>
      </c>
      <c r="F803" s="376" t="s">
        <v>23</v>
      </c>
      <c r="G803" s="377"/>
      <c r="H803" s="372" t="s">
        <v>2165</v>
      </c>
      <c r="I803" s="373" t="s">
        <v>2165</v>
      </c>
      <c r="J803" s="374">
        <v>296.2</v>
      </c>
      <c r="K803" s="378">
        <v>7001300254</v>
      </c>
      <c r="L803" s="379">
        <v>7.8979996404977007E-2</v>
      </c>
    </row>
    <row r="804" spans="1:12" s="182" customFormat="1" ht="45" x14ac:dyDescent="0.25">
      <c r="A804" s="375" t="s">
        <v>2062</v>
      </c>
      <c r="B804" s="376" t="s">
        <v>2062</v>
      </c>
      <c r="C804" s="370" t="s">
        <v>2165</v>
      </c>
      <c r="D804" s="370" t="s">
        <v>2165</v>
      </c>
      <c r="E804" s="371" t="s">
        <v>2066</v>
      </c>
      <c r="F804" s="376" t="s">
        <v>23</v>
      </c>
      <c r="G804" s="377"/>
      <c r="H804" s="372" t="s">
        <v>2165</v>
      </c>
      <c r="I804" s="373" t="s">
        <v>2165</v>
      </c>
      <c r="J804" s="374">
        <v>305.77999999999997</v>
      </c>
      <c r="K804" s="378">
        <v>7001300258</v>
      </c>
      <c r="L804" s="379">
        <v>7.6505575692178002E-2</v>
      </c>
    </row>
    <row r="805" spans="1:12" s="182" customFormat="1" ht="30" x14ac:dyDescent="0.25">
      <c r="A805" s="375" t="s">
        <v>2063</v>
      </c>
      <c r="B805" s="376" t="s">
        <v>2063</v>
      </c>
      <c r="C805" s="370" t="s">
        <v>2165</v>
      </c>
      <c r="D805" s="370" t="s">
        <v>2165</v>
      </c>
      <c r="E805" s="371" t="s">
        <v>2064</v>
      </c>
      <c r="F805" s="376" t="s">
        <v>20</v>
      </c>
      <c r="G805" s="377"/>
      <c r="H805" s="372" t="s">
        <v>2165</v>
      </c>
      <c r="I805" s="373" t="s">
        <v>2165</v>
      </c>
      <c r="J805" s="374">
        <v>44.99</v>
      </c>
      <c r="K805" s="378">
        <v>7001300262</v>
      </c>
      <c r="L805" s="379">
        <v>0.10173182272337143</v>
      </c>
    </row>
    <row r="806" spans="1:12" x14ac:dyDescent="0.25">
      <c r="A806" s="375" t="s">
        <v>1317</v>
      </c>
      <c r="B806" s="376" t="s">
        <v>1317</v>
      </c>
      <c r="C806" s="370" t="s">
        <v>2165</v>
      </c>
      <c r="D806" s="370" t="s">
        <v>2165</v>
      </c>
      <c r="E806" s="371" t="s">
        <v>1912</v>
      </c>
      <c r="F806" s="376" t="s">
        <v>23</v>
      </c>
      <c r="G806" s="377"/>
      <c r="H806" s="372" t="s">
        <v>2165</v>
      </c>
      <c r="I806" s="373" t="s">
        <v>2165</v>
      </c>
      <c r="J806" s="374">
        <v>21.14</v>
      </c>
      <c r="K806" s="378">
        <v>7001300064</v>
      </c>
      <c r="L806" s="379">
        <v>0</v>
      </c>
    </row>
    <row r="807" spans="1:12" s="10" customFormat="1" x14ac:dyDescent="0.25">
      <c r="A807" s="34">
        <v>81</v>
      </c>
      <c r="B807" s="174" t="s">
        <v>2165</v>
      </c>
      <c r="C807" s="383" t="s">
        <v>2165</v>
      </c>
      <c r="D807" s="383" t="s">
        <v>2165</v>
      </c>
      <c r="E807" s="384" t="s">
        <v>590</v>
      </c>
      <c r="F807" s="174"/>
      <c r="G807" s="175"/>
      <c r="H807" s="385" t="s">
        <v>2165</v>
      </c>
      <c r="I807" s="386" t="s">
        <v>2165</v>
      </c>
      <c r="J807" s="387" t="s">
        <v>2165</v>
      </c>
      <c r="K807" s="282" t="s">
        <v>2165</v>
      </c>
      <c r="L807" s="285" t="s">
        <v>2165</v>
      </c>
    </row>
    <row r="808" spans="1:12" x14ac:dyDescent="0.25">
      <c r="A808" s="375" t="s">
        <v>1318</v>
      </c>
      <c r="B808" s="376" t="s">
        <v>1318</v>
      </c>
      <c r="C808" s="370" t="s">
        <v>2165</v>
      </c>
      <c r="D808" s="370" t="s">
        <v>2165</v>
      </c>
      <c r="E808" s="371" t="s">
        <v>1913</v>
      </c>
      <c r="F808" s="376" t="s">
        <v>23</v>
      </c>
      <c r="G808" s="377"/>
      <c r="H808" s="372" t="s">
        <v>2165</v>
      </c>
      <c r="I808" s="373" t="s">
        <v>2165</v>
      </c>
      <c r="J808" s="374">
        <v>232.25</v>
      </c>
      <c r="K808" s="378">
        <v>7001300038</v>
      </c>
      <c r="L808" s="379">
        <v>0</v>
      </c>
    </row>
    <row r="809" spans="1:12" ht="30" x14ac:dyDescent="0.25">
      <c r="A809" s="375" t="s">
        <v>1319</v>
      </c>
      <c r="B809" s="376" t="s">
        <v>1319</v>
      </c>
      <c r="C809" s="370" t="s">
        <v>2165</v>
      </c>
      <c r="D809" s="370" t="s">
        <v>2165</v>
      </c>
      <c r="E809" s="371" t="s">
        <v>1914</v>
      </c>
      <c r="F809" s="376" t="s">
        <v>20</v>
      </c>
      <c r="G809" s="377"/>
      <c r="H809" s="372" t="s">
        <v>2165</v>
      </c>
      <c r="I809" s="373" t="s">
        <v>2165</v>
      </c>
      <c r="J809" s="374">
        <v>46.45</v>
      </c>
      <c r="K809" s="378">
        <v>7001300007</v>
      </c>
      <c r="L809" s="379">
        <v>0</v>
      </c>
    </row>
    <row r="810" spans="1:12" x14ac:dyDescent="0.25">
      <c r="A810" s="375" t="s">
        <v>1320</v>
      </c>
      <c r="B810" s="376" t="s">
        <v>1320</v>
      </c>
      <c r="C810" s="370" t="s">
        <v>2165</v>
      </c>
      <c r="D810" s="370" t="s">
        <v>2165</v>
      </c>
      <c r="E810" s="371" t="s">
        <v>1915</v>
      </c>
      <c r="F810" s="376" t="s">
        <v>23</v>
      </c>
      <c r="G810" s="377"/>
      <c r="H810" s="372" t="s">
        <v>2165</v>
      </c>
      <c r="I810" s="373" t="s">
        <v>2165</v>
      </c>
      <c r="J810" s="374">
        <v>284</v>
      </c>
      <c r="K810" s="378">
        <v>7001300041</v>
      </c>
      <c r="L810" s="379">
        <v>0</v>
      </c>
    </row>
    <row r="811" spans="1:12" ht="30" x14ac:dyDescent="0.25">
      <c r="A811" s="375" t="s">
        <v>1321</v>
      </c>
      <c r="B811" s="376" t="s">
        <v>1321</v>
      </c>
      <c r="C811" s="370" t="s">
        <v>2165</v>
      </c>
      <c r="D811" s="370" t="s">
        <v>2165</v>
      </c>
      <c r="E811" s="371" t="s">
        <v>1916</v>
      </c>
      <c r="F811" s="376" t="s">
        <v>20</v>
      </c>
      <c r="G811" s="377"/>
      <c r="H811" s="372" t="s">
        <v>2165</v>
      </c>
      <c r="I811" s="373" t="s">
        <v>2165</v>
      </c>
      <c r="J811" s="374">
        <v>56.8</v>
      </c>
      <c r="K811" s="378">
        <v>7001300009</v>
      </c>
      <c r="L811" s="379">
        <v>0</v>
      </c>
    </row>
    <row r="812" spans="1:12" x14ac:dyDescent="0.25">
      <c r="A812" s="375" t="s">
        <v>1322</v>
      </c>
      <c r="B812" s="376" t="s">
        <v>1322</v>
      </c>
      <c r="C812" s="370" t="s">
        <v>2165</v>
      </c>
      <c r="D812" s="370" t="s">
        <v>2165</v>
      </c>
      <c r="E812" s="371" t="s">
        <v>1917</v>
      </c>
      <c r="F812" s="376" t="s">
        <v>23</v>
      </c>
      <c r="G812" s="377"/>
      <c r="H812" s="372" t="s">
        <v>2165</v>
      </c>
      <c r="I812" s="373" t="s">
        <v>2165</v>
      </c>
      <c r="J812" s="374">
        <v>46.65</v>
      </c>
      <c r="K812" s="378">
        <v>7001300070</v>
      </c>
      <c r="L812" s="379">
        <v>5.4718242864677386E-3</v>
      </c>
    </row>
    <row r="813" spans="1:12" ht="30" x14ac:dyDescent="0.25">
      <c r="A813" s="380" t="s">
        <v>957</v>
      </c>
      <c r="B813" s="380" t="s">
        <v>957</v>
      </c>
      <c r="C813" s="370" t="s">
        <v>2165</v>
      </c>
      <c r="D813" s="370" t="s">
        <v>2165</v>
      </c>
      <c r="E813" s="371" t="s">
        <v>1918</v>
      </c>
      <c r="F813" s="376" t="s">
        <v>55</v>
      </c>
      <c r="G813" s="377"/>
      <c r="H813" s="372" t="s">
        <v>2165</v>
      </c>
      <c r="I813" s="373" t="s">
        <v>2165</v>
      </c>
      <c r="J813" s="374">
        <v>1868.55</v>
      </c>
      <c r="K813" s="378">
        <v>7001300233</v>
      </c>
      <c r="L813" s="379">
        <v>1.817995993136471E-3</v>
      </c>
    </row>
    <row r="814" spans="1:12" ht="30" x14ac:dyDescent="0.25">
      <c r="A814" s="380" t="s">
        <v>958</v>
      </c>
      <c r="B814" s="380" t="s">
        <v>958</v>
      </c>
      <c r="C814" s="370" t="s">
        <v>2165</v>
      </c>
      <c r="D814" s="370" t="s">
        <v>2165</v>
      </c>
      <c r="E814" s="371" t="s">
        <v>1919</v>
      </c>
      <c r="F814" s="376" t="s">
        <v>55</v>
      </c>
      <c r="G814" s="377"/>
      <c r="H814" s="372" t="s">
        <v>2165</v>
      </c>
      <c r="I814" s="373" t="s">
        <v>2165</v>
      </c>
      <c r="J814" s="374">
        <v>2156.52</v>
      </c>
      <c r="K814" s="378">
        <v>7001300234</v>
      </c>
      <c r="L814" s="379">
        <v>3.1241709881639065E-3</v>
      </c>
    </row>
    <row r="815" spans="1:12" ht="30" x14ac:dyDescent="0.25">
      <c r="A815" s="380" t="s">
        <v>959</v>
      </c>
      <c r="B815" s="380" t="s">
        <v>959</v>
      </c>
      <c r="C815" s="370" t="s">
        <v>2165</v>
      </c>
      <c r="D815" s="370" t="s">
        <v>2165</v>
      </c>
      <c r="E815" s="371" t="s">
        <v>1920</v>
      </c>
      <c r="F815" s="376" t="s">
        <v>55</v>
      </c>
      <c r="G815" s="377"/>
      <c r="H815" s="372" t="s">
        <v>2165</v>
      </c>
      <c r="I815" s="373" t="s">
        <v>2165</v>
      </c>
      <c r="J815" s="374">
        <v>2489.19</v>
      </c>
      <c r="K815" s="378">
        <v>7001300235</v>
      </c>
      <c r="L815" s="379">
        <v>6.6786089365397606E-3</v>
      </c>
    </row>
    <row r="816" spans="1:12" ht="30" x14ac:dyDescent="0.25">
      <c r="A816" s="380" t="s">
        <v>960</v>
      </c>
      <c r="B816" s="380" t="s">
        <v>960</v>
      </c>
      <c r="C816" s="370" t="s">
        <v>2165</v>
      </c>
      <c r="D816" s="370" t="s">
        <v>2165</v>
      </c>
      <c r="E816" s="371" t="s">
        <v>1921</v>
      </c>
      <c r="F816" s="376" t="s">
        <v>55</v>
      </c>
      <c r="G816" s="377"/>
      <c r="H816" s="372" t="s">
        <v>2165</v>
      </c>
      <c r="I816" s="373" t="s">
        <v>2165</v>
      </c>
      <c r="J816" s="374">
        <v>2898.55</v>
      </c>
      <c r="K816" s="378">
        <v>7001300236</v>
      </c>
      <c r="L816" s="379">
        <v>2.3975182690467336E-3</v>
      </c>
    </row>
    <row r="817" spans="1:12" ht="72.75" customHeight="1" x14ac:dyDescent="0.25">
      <c r="A817" s="380" t="s">
        <v>961</v>
      </c>
      <c r="B817" s="380" t="s">
        <v>961</v>
      </c>
      <c r="C817" s="370" t="s">
        <v>2165</v>
      </c>
      <c r="D817" s="370" t="s">
        <v>2165</v>
      </c>
      <c r="E817" s="371" t="s">
        <v>1922</v>
      </c>
      <c r="F817" s="376" t="s">
        <v>55</v>
      </c>
      <c r="G817" s="377"/>
      <c r="H817" s="372" t="s">
        <v>2165</v>
      </c>
      <c r="I817" s="373" t="s">
        <v>2165</v>
      </c>
      <c r="J817" s="374">
        <v>3443.3299999999995</v>
      </c>
      <c r="K817" s="378">
        <v>7001300237</v>
      </c>
      <c r="L817" s="379">
        <v>2.0181994112517276E-3</v>
      </c>
    </row>
    <row r="818" spans="1:12" s="10" customFormat="1" x14ac:dyDescent="0.25">
      <c r="A818" s="34">
        <v>82</v>
      </c>
      <c r="B818" s="174" t="s">
        <v>2165</v>
      </c>
      <c r="C818" s="383" t="s">
        <v>2165</v>
      </c>
      <c r="D818" s="383" t="s">
        <v>2165</v>
      </c>
      <c r="E818" s="384" t="s">
        <v>591</v>
      </c>
      <c r="F818" s="174"/>
      <c r="G818" s="175"/>
      <c r="H818" s="385" t="s">
        <v>2165</v>
      </c>
      <c r="I818" s="386" t="s">
        <v>2165</v>
      </c>
      <c r="J818" s="387" t="s">
        <v>2165</v>
      </c>
      <c r="K818" s="282" t="s">
        <v>2165</v>
      </c>
      <c r="L818" s="285" t="s">
        <v>2165</v>
      </c>
    </row>
    <row r="819" spans="1:12" ht="30" x14ac:dyDescent="0.25">
      <c r="A819" s="375" t="s">
        <v>1323</v>
      </c>
      <c r="B819" s="376" t="s">
        <v>1323</v>
      </c>
      <c r="C819" s="370" t="s">
        <v>2165</v>
      </c>
      <c r="D819" s="370" t="s">
        <v>2165</v>
      </c>
      <c r="E819" s="371" t="s">
        <v>1923</v>
      </c>
      <c r="F819" s="376" t="s">
        <v>20</v>
      </c>
      <c r="G819" s="377"/>
      <c r="H819" s="372" t="s">
        <v>2165</v>
      </c>
      <c r="I819" s="373" t="s">
        <v>2165</v>
      </c>
      <c r="J819" s="374">
        <v>110.97000000000001</v>
      </c>
      <c r="K819" s="378">
        <v>7001310001</v>
      </c>
      <c r="L819" s="379">
        <v>0</v>
      </c>
    </row>
    <row r="820" spans="1:12" ht="30" x14ac:dyDescent="0.25">
      <c r="A820" s="375" t="s">
        <v>1324</v>
      </c>
      <c r="B820" s="376" t="s">
        <v>1324</v>
      </c>
      <c r="C820" s="370" t="s">
        <v>2165</v>
      </c>
      <c r="D820" s="370" t="s">
        <v>2165</v>
      </c>
      <c r="E820" s="371" t="s">
        <v>1924</v>
      </c>
      <c r="F820" s="376" t="s">
        <v>20</v>
      </c>
      <c r="G820" s="377"/>
      <c r="H820" s="372" t="s">
        <v>2165</v>
      </c>
      <c r="I820" s="373" t="s">
        <v>2165</v>
      </c>
      <c r="J820" s="374">
        <v>34.21</v>
      </c>
      <c r="K820" s="378">
        <v>7001310002</v>
      </c>
      <c r="L820" s="379">
        <v>0</v>
      </c>
    </row>
    <row r="821" spans="1:12" ht="30" x14ac:dyDescent="0.25">
      <c r="A821" s="375" t="s">
        <v>962</v>
      </c>
      <c r="B821" s="376" t="s">
        <v>962</v>
      </c>
      <c r="C821" s="370" t="s">
        <v>2165</v>
      </c>
      <c r="D821" s="370" t="s">
        <v>2165</v>
      </c>
      <c r="E821" s="371" t="s">
        <v>2270</v>
      </c>
      <c r="F821" s="376" t="s">
        <v>20</v>
      </c>
      <c r="G821" s="377"/>
      <c r="H821" s="372" t="s">
        <v>2165</v>
      </c>
      <c r="I821" s="373" t="s">
        <v>2165</v>
      </c>
      <c r="J821" s="374">
        <v>28.59</v>
      </c>
      <c r="K821" s="378">
        <v>7001310224</v>
      </c>
      <c r="L821" s="379">
        <v>0</v>
      </c>
    </row>
    <row r="822" spans="1:12" ht="45" x14ac:dyDescent="0.25">
      <c r="A822" s="375" t="s">
        <v>2269</v>
      </c>
      <c r="B822" s="375" t="s">
        <v>2269</v>
      </c>
      <c r="C822" s="370" t="s">
        <v>2165</v>
      </c>
      <c r="D822" s="370" t="s">
        <v>2165</v>
      </c>
      <c r="E822" s="371" t="s">
        <v>2271</v>
      </c>
      <c r="F822" s="376" t="s">
        <v>20</v>
      </c>
      <c r="G822" s="377"/>
      <c r="H822" s="372" t="s">
        <v>2165</v>
      </c>
      <c r="I822" s="373" t="s">
        <v>2165</v>
      </c>
      <c r="J822" s="374">
        <v>31.66</v>
      </c>
      <c r="K822" s="378">
        <v>7001310224</v>
      </c>
      <c r="L822" s="379">
        <v>0</v>
      </c>
    </row>
    <row r="823" spans="1:12" s="10" customFormat="1" x14ac:dyDescent="0.25">
      <c r="A823" s="34">
        <v>83</v>
      </c>
      <c r="B823" s="174" t="s">
        <v>2165</v>
      </c>
      <c r="C823" s="383" t="s">
        <v>2165</v>
      </c>
      <c r="D823" s="383" t="s">
        <v>2165</v>
      </c>
      <c r="E823" s="384" t="s">
        <v>592</v>
      </c>
      <c r="F823" s="174"/>
      <c r="G823" s="175"/>
      <c r="H823" s="385" t="s">
        <v>2165</v>
      </c>
      <c r="I823" s="386" t="s">
        <v>2165</v>
      </c>
      <c r="J823" s="387" t="s">
        <v>2165</v>
      </c>
      <c r="K823" s="282" t="s">
        <v>2165</v>
      </c>
      <c r="L823" s="285" t="s">
        <v>2165</v>
      </c>
    </row>
    <row r="824" spans="1:12" x14ac:dyDescent="0.25">
      <c r="A824" s="375" t="s">
        <v>1325</v>
      </c>
      <c r="B824" s="376" t="s">
        <v>1325</v>
      </c>
      <c r="C824" s="370" t="s">
        <v>2165</v>
      </c>
      <c r="D824" s="370" t="s">
        <v>2165</v>
      </c>
      <c r="E824" s="371" t="s">
        <v>1925</v>
      </c>
      <c r="F824" s="376" t="s">
        <v>29</v>
      </c>
      <c r="G824" s="377"/>
      <c r="H824" s="372" t="s">
        <v>2165</v>
      </c>
      <c r="I824" s="373" t="s">
        <v>2165</v>
      </c>
      <c r="J824" s="374">
        <v>11.83</v>
      </c>
      <c r="K824" s="378">
        <v>7001310003</v>
      </c>
      <c r="L824" s="379">
        <v>2.9172316421850274E-2</v>
      </c>
    </row>
    <row r="825" spans="1:12" x14ac:dyDescent="0.25">
      <c r="A825" s="375" t="s">
        <v>1326</v>
      </c>
      <c r="B825" s="376" t="s">
        <v>1326</v>
      </c>
      <c r="C825" s="370" t="s">
        <v>2165</v>
      </c>
      <c r="D825" s="370" t="s">
        <v>2165</v>
      </c>
      <c r="E825" s="371" t="s">
        <v>1926</v>
      </c>
      <c r="F825" s="376" t="s">
        <v>29</v>
      </c>
      <c r="G825" s="377"/>
      <c r="H825" s="372" t="s">
        <v>2165</v>
      </c>
      <c r="I825" s="373" t="s">
        <v>2165</v>
      </c>
      <c r="J825" s="374">
        <v>30.330000000000002</v>
      </c>
      <c r="K825" s="378">
        <v>7001310004</v>
      </c>
      <c r="L825" s="379">
        <v>1.1378453784058317E-2</v>
      </c>
    </row>
    <row r="826" spans="1:12" ht="30" x14ac:dyDescent="0.25">
      <c r="A826" s="375" t="s">
        <v>1040</v>
      </c>
      <c r="B826" s="376" t="s">
        <v>1040</v>
      </c>
      <c r="C826" s="370" t="s">
        <v>2165</v>
      </c>
      <c r="D826" s="370" t="s">
        <v>2165</v>
      </c>
      <c r="E826" s="371" t="s">
        <v>1927</v>
      </c>
      <c r="F826" s="376" t="s">
        <v>29</v>
      </c>
      <c r="G826" s="377"/>
      <c r="H826" s="372" t="s">
        <v>2165</v>
      </c>
      <c r="I826" s="373" t="s">
        <v>2165</v>
      </c>
      <c r="J826" s="374">
        <v>30.27</v>
      </c>
      <c r="K826" s="378">
        <v>7001310005</v>
      </c>
      <c r="L826" s="379">
        <v>8.9197224975223009E-3</v>
      </c>
    </row>
    <row r="827" spans="1:12" x14ac:dyDescent="0.25">
      <c r="A827" s="375" t="s">
        <v>1327</v>
      </c>
      <c r="B827" s="376" t="s">
        <v>1327</v>
      </c>
      <c r="C827" s="370" t="s">
        <v>2165</v>
      </c>
      <c r="D827" s="370" t="s">
        <v>2165</v>
      </c>
      <c r="E827" s="371" t="s">
        <v>1928</v>
      </c>
      <c r="F827" s="376" t="s">
        <v>29</v>
      </c>
      <c r="G827" s="377"/>
      <c r="H827" s="372" t="s">
        <v>2165</v>
      </c>
      <c r="I827" s="373" t="s">
        <v>2165</v>
      </c>
      <c r="J827" s="374">
        <v>30.330000000000002</v>
      </c>
      <c r="K827" s="378">
        <v>7001310006</v>
      </c>
      <c r="L827" s="379">
        <v>1.1378453784058317E-2</v>
      </c>
    </row>
    <row r="828" spans="1:12" s="10" customFormat="1" x14ac:dyDescent="0.25">
      <c r="A828" s="34">
        <v>84</v>
      </c>
      <c r="B828" s="174" t="s">
        <v>2165</v>
      </c>
      <c r="C828" s="383" t="s">
        <v>2165</v>
      </c>
      <c r="D828" s="383" t="s">
        <v>2165</v>
      </c>
      <c r="E828" s="384" t="s">
        <v>593</v>
      </c>
      <c r="F828" s="174"/>
      <c r="G828" s="175"/>
      <c r="H828" s="385" t="s">
        <v>2165</v>
      </c>
      <c r="I828" s="386" t="s">
        <v>2165</v>
      </c>
      <c r="J828" s="387" t="s">
        <v>2165</v>
      </c>
      <c r="K828" s="282" t="s">
        <v>2165</v>
      </c>
      <c r="L828" s="285" t="s">
        <v>2165</v>
      </c>
    </row>
    <row r="829" spans="1:12" ht="30" x14ac:dyDescent="0.25">
      <c r="A829" s="375" t="s">
        <v>1328</v>
      </c>
      <c r="B829" s="376" t="s">
        <v>1328</v>
      </c>
      <c r="C829" s="370" t="s">
        <v>2165</v>
      </c>
      <c r="D829" s="370" t="s">
        <v>2165</v>
      </c>
      <c r="E829" s="371" t="s">
        <v>1929</v>
      </c>
      <c r="F829" s="376" t="s">
        <v>20</v>
      </c>
      <c r="G829" s="377"/>
      <c r="H829" s="372" t="s">
        <v>2165</v>
      </c>
      <c r="I829" s="373" t="s">
        <v>2165</v>
      </c>
      <c r="J829" s="374">
        <v>213.42999999999998</v>
      </c>
      <c r="K829" s="378">
        <v>7001310064</v>
      </c>
      <c r="L829" s="379">
        <v>0</v>
      </c>
    </row>
    <row r="830" spans="1:12" ht="45" x14ac:dyDescent="0.25">
      <c r="A830" s="375" t="s">
        <v>1329</v>
      </c>
      <c r="B830" s="376" t="s">
        <v>1329</v>
      </c>
      <c r="C830" s="370" t="s">
        <v>2165</v>
      </c>
      <c r="D830" s="370" t="s">
        <v>2165</v>
      </c>
      <c r="E830" s="371" t="s">
        <v>1930</v>
      </c>
      <c r="F830" s="376" t="s">
        <v>20</v>
      </c>
      <c r="G830" s="377"/>
      <c r="H830" s="372" t="s">
        <v>2165</v>
      </c>
      <c r="I830" s="373" t="s">
        <v>2165</v>
      </c>
      <c r="J830" s="374">
        <v>449.28000000000009</v>
      </c>
      <c r="K830" s="378">
        <v>7001310065</v>
      </c>
      <c r="L830" s="379">
        <v>4.5851139601139597E-3</v>
      </c>
    </row>
    <row r="831" spans="1:12" ht="45" x14ac:dyDescent="0.25">
      <c r="A831" s="375" t="s">
        <v>1330</v>
      </c>
      <c r="B831" s="376" t="s">
        <v>1330</v>
      </c>
      <c r="C831" s="370" t="s">
        <v>2165</v>
      </c>
      <c r="D831" s="370" t="s">
        <v>2165</v>
      </c>
      <c r="E831" s="371" t="s">
        <v>1931</v>
      </c>
      <c r="F831" s="376" t="s">
        <v>20</v>
      </c>
      <c r="G831" s="377"/>
      <c r="H831" s="372" t="s">
        <v>2165</v>
      </c>
      <c r="I831" s="373" t="s">
        <v>2165</v>
      </c>
      <c r="J831" s="374">
        <v>476.62</v>
      </c>
      <c r="K831" s="378">
        <v>7001310045</v>
      </c>
      <c r="L831" s="379">
        <v>4.7417229658847718E-3</v>
      </c>
    </row>
    <row r="832" spans="1:12" ht="45" x14ac:dyDescent="0.25">
      <c r="A832" s="375" t="s">
        <v>963</v>
      </c>
      <c r="B832" s="376" t="s">
        <v>963</v>
      </c>
      <c r="C832" s="370" t="s">
        <v>2165</v>
      </c>
      <c r="D832" s="370" t="s">
        <v>2165</v>
      </c>
      <c r="E832" s="371" t="s">
        <v>1932</v>
      </c>
      <c r="F832" s="376" t="s">
        <v>20</v>
      </c>
      <c r="G832" s="377"/>
      <c r="H832" s="372" t="s">
        <v>2165</v>
      </c>
      <c r="I832" s="373" t="s">
        <v>2165</v>
      </c>
      <c r="J832" s="374">
        <v>960.9799999999999</v>
      </c>
      <c r="K832" s="378">
        <v>7001310272</v>
      </c>
      <c r="L832" s="379">
        <v>9.6394935954959623E-4</v>
      </c>
    </row>
    <row r="833" spans="1:12" ht="45" x14ac:dyDescent="0.25">
      <c r="A833" s="375" t="s">
        <v>964</v>
      </c>
      <c r="B833" s="376" t="s">
        <v>964</v>
      </c>
      <c r="C833" s="370" t="s">
        <v>2165</v>
      </c>
      <c r="D833" s="370" t="s">
        <v>2165</v>
      </c>
      <c r="E833" s="371" t="s">
        <v>1933</v>
      </c>
      <c r="F833" s="376" t="s">
        <v>20</v>
      </c>
      <c r="G833" s="377"/>
      <c r="H833" s="372" t="s">
        <v>2165</v>
      </c>
      <c r="I833" s="373" t="s">
        <v>2165</v>
      </c>
      <c r="J833" s="374">
        <v>833.85999999999979</v>
      </c>
      <c r="K833" s="378">
        <v>7001310273</v>
      </c>
      <c r="L833" s="379">
        <v>6.065939288193901E-4</v>
      </c>
    </row>
    <row r="834" spans="1:12" ht="30" x14ac:dyDescent="0.25">
      <c r="A834" s="375" t="s">
        <v>965</v>
      </c>
      <c r="B834" s="376" t="s">
        <v>965</v>
      </c>
      <c r="C834" s="370" t="s">
        <v>2165</v>
      </c>
      <c r="D834" s="370" t="s">
        <v>2165</v>
      </c>
      <c r="E834" s="371" t="s">
        <v>1934</v>
      </c>
      <c r="F834" s="376" t="s">
        <v>20</v>
      </c>
      <c r="G834" s="377"/>
      <c r="H834" s="372" t="s">
        <v>2165</v>
      </c>
      <c r="I834" s="373" t="s">
        <v>2165</v>
      </c>
      <c r="J834" s="374">
        <v>28.86</v>
      </c>
      <c r="K834" s="378">
        <v>7001310274</v>
      </c>
      <c r="L834" s="379">
        <v>3.7189602406993713E-5</v>
      </c>
    </row>
    <row r="835" spans="1:12" s="10" customFormat="1" x14ac:dyDescent="0.25">
      <c r="A835" s="34">
        <v>85</v>
      </c>
      <c r="B835" s="174" t="s">
        <v>2165</v>
      </c>
      <c r="C835" s="383" t="s">
        <v>2165</v>
      </c>
      <c r="D835" s="383" t="s">
        <v>2165</v>
      </c>
      <c r="E835" s="384" t="s">
        <v>594</v>
      </c>
      <c r="F835" s="174"/>
      <c r="G835" s="175"/>
      <c r="H835" s="385" t="s">
        <v>2165</v>
      </c>
      <c r="I835" s="386" t="s">
        <v>2165</v>
      </c>
      <c r="J835" s="387" t="s">
        <v>2165</v>
      </c>
      <c r="K835" s="282" t="s">
        <v>2165</v>
      </c>
      <c r="L835" s="285" t="s">
        <v>2165</v>
      </c>
    </row>
    <row r="836" spans="1:12" ht="60" customHeight="1" x14ac:dyDescent="0.25">
      <c r="A836" s="375" t="s">
        <v>1331</v>
      </c>
      <c r="B836" s="376" t="s">
        <v>1331</v>
      </c>
      <c r="C836" s="370" t="s">
        <v>2165</v>
      </c>
      <c r="D836" s="370" t="s">
        <v>2165</v>
      </c>
      <c r="E836" s="371" t="s">
        <v>1935</v>
      </c>
      <c r="F836" s="376" t="s">
        <v>29</v>
      </c>
      <c r="G836" s="377"/>
      <c r="H836" s="372" t="s">
        <v>2165</v>
      </c>
      <c r="I836" s="373" t="s">
        <v>2165</v>
      </c>
      <c r="J836" s="374">
        <v>1091.3399999999999</v>
      </c>
      <c r="K836" s="378">
        <v>7001310010</v>
      </c>
      <c r="L836" s="379">
        <v>0</v>
      </c>
    </row>
    <row r="837" spans="1:12" ht="45" x14ac:dyDescent="0.25">
      <c r="A837" s="375" t="s">
        <v>1041</v>
      </c>
      <c r="B837" s="376" t="s">
        <v>1041</v>
      </c>
      <c r="C837" s="370" t="s">
        <v>2165</v>
      </c>
      <c r="D837" s="370" t="s">
        <v>2165</v>
      </c>
      <c r="E837" s="371" t="s">
        <v>1936</v>
      </c>
      <c r="F837" s="376" t="s">
        <v>20</v>
      </c>
      <c r="G837" s="377"/>
      <c r="H837" s="372" t="s">
        <v>2165</v>
      </c>
      <c r="I837" s="373" t="s">
        <v>2165</v>
      </c>
      <c r="J837" s="374">
        <v>383.27000000000004</v>
      </c>
      <c r="K837" s="378">
        <v>7001320066</v>
      </c>
      <c r="L837" s="379">
        <v>0</v>
      </c>
    </row>
    <row r="838" spans="1:12" x14ac:dyDescent="0.25">
      <c r="A838" s="375" t="s">
        <v>966</v>
      </c>
      <c r="B838" s="376" t="s">
        <v>966</v>
      </c>
      <c r="C838" s="370" t="s">
        <v>2165</v>
      </c>
      <c r="D838" s="370" t="s">
        <v>2165</v>
      </c>
      <c r="E838" s="371" t="s">
        <v>1937</v>
      </c>
      <c r="F838" s="376" t="s">
        <v>20</v>
      </c>
      <c r="G838" s="377"/>
      <c r="H838" s="372" t="s">
        <v>2165</v>
      </c>
      <c r="I838" s="373" t="s">
        <v>2165</v>
      </c>
      <c r="J838" s="374">
        <v>35.879999999999995</v>
      </c>
      <c r="K838" s="378">
        <v>7001320260</v>
      </c>
      <c r="L838" s="379">
        <v>4.8519577829959533E-2</v>
      </c>
    </row>
    <row r="839" spans="1:12" x14ac:dyDescent="0.25">
      <c r="A839" s="375" t="s">
        <v>967</v>
      </c>
      <c r="B839" s="376" t="s">
        <v>967</v>
      </c>
      <c r="C839" s="370" t="s">
        <v>2165</v>
      </c>
      <c r="D839" s="370" t="s">
        <v>2165</v>
      </c>
      <c r="E839" s="371" t="s">
        <v>1938</v>
      </c>
      <c r="F839" s="376" t="s">
        <v>29</v>
      </c>
      <c r="G839" s="377"/>
      <c r="H839" s="372" t="s">
        <v>2165</v>
      </c>
      <c r="I839" s="373" t="s">
        <v>2165</v>
      </c>
      <c r="J839" s="374">
        <v>460.33</v>
      </c>
      <c r="K839" s="378">
        <v>7001320261</v>
      </c>
      <c r="L839" s="379">
        <v>0</v>
      </c>
    </row>
    <row r="840" spans="1:12" x14ac:dyDescent="0.25">
      <c r="A840" s="375" t="s">
        <v>1425</v>
      </c>
      <c r="B840" s="376" t="s">
        <v>1425</v>
      </c>
      <c r="C840" s="370" t="s">
        <v>2165</v>
      </c>
      <c r="D840" s="370" t="s">
        <v>2165</v>
      </c>
      <c r="E840" s="371" t="s">
        <v>1710</v>
      </c>
      <c r="F840" s="376" t="s">
        <v>20</v>
      </c>
      <c r="G840" s="377"/>
      <c r="H840" s="372" t="s">
        <v>2165</v>
      </c>
      <c r="I840" s="373" t="s">
        <v>2165</v>
      </c>
      <c r="J840" s="374">
        <v>102.7</v>
      </c>
      <c r="K840" s="378">
        <v>7001320413</v>
      </c>
      <c r="L840" s="379">
        <v>0</v>
      </c>
    </row>
    <row r="841" spans="1:12" x14ac:dyDescent="0.25">
      <c r="A841" s="375" t="s">
        <v>968</v>
      </c>
      <c r="B841" s="376" t="s">
        <v>968</v>
      </c>
      <c r="C841" s="370" t="s">
        <v>2165</v>
      </c>
      <c r="D841" s="370" t="s">
        <v>2165</v>
      </c>
      <c r="E841" s="371" t="s">
        <v>1939</v>
      </c>
      <c r="F841" s="376" t="s">
        <v>29</v>
      </c>
      <c r="G841" s="377"/>
      <c r="H841" s="372" t="s">
        <v>2165</v>
      </c>
      <c r="I841" s="373" t="s">
        <v>2165</v>
      </c>
      <c r="J841" s="374">
        <v>1393.3600000000001</v>
      </c>
      <c r="K841" s="378">
        <v>7001320298</v>
      </c>
      <c r="L841" s="379">
        <v>0</v>
      </c>
    </row>
    <row r="842" spans="1:12" ht="45" x14ac:dyDescent="0.25">
      <c r="A842" s="375" t="s">
        <v>969</v>
      </c>
      <c r="B842" s="376" t="s">
        <v>969</v>
      </c>
      <c r="C842" s="370" t="s">
        <v>2165</v>
      </c>
      <c r="D842" s="370" t="s">
        <v>2165</v>
      </c>
      <c r="E842" s="371" t="s">
        <v>1940</v>
      </c>
      <c r="F842" s="376" t="s">
        <v>31</v>
      </c>
      <c r="G842" s="377"/>
      <c r="H842" s="372" t="s">
        <v>2165</v>
      </c>
      <c r="I842" s="373" t="s">
        <v>2165</v>
      </c>
      <c r="J842" s="374">
        <v>14.219999999999999</v>
      </c>
      <c r="K842" s="378">
        <v>7001360662</v>
      </c>
      <c r="L842" s="379">
        <v>0.75475070424739477</v>
      </c>
    </row>
    <row r="843" spans="1:12" x14ac:dyDescent="0.25">
      <c r="A843" s="375" t="s">
        <v>970</v>
      </c>
      <c r="B843" s="376" t="s">
        <v>970</v>
      </c>
      <c r="C843" s="370" t="s">
        <v>2165</v>
      </c>
      <c r="D843" s="370" t="s">
        <v>2165</v>
      </c>
      <c r="E843" s="371" t="s">
        <v>1941</v>
      </c>
      <c r="F843" s="376" t="s">
        <v>29</v>
      </c>
      <c r="G843" s="377"/>
      <c r="H843" s="372" t="s">
        <v>2165</v>
      </c>
      <c r="I843" s="373" t="s">
        <v>2165</v>
      </c>
      <c r="J843" s="374">
        <v>3071.8900000000003</v>
      </c>
      <c r="K843" s="378">
        <v>7001320362</v>
      </c>
      <c r="L843" s="379">
        <v>0.13210108434872342</v>
      </c>
    </row>
    <row r="844" spans="1:12" x14ac:dyDescent="0.25">
      <c r="A844" s="375" t="s">
        <v>971</v>
      </c>
      <c r="B844" s="376" t="s">
        <v>971</v>
      </c>
      <c r="C844" s="370" t="s">
        <v>2165</v>
      </c>
      <c r="D844" s="370" t="s">
        <v>2165</v>
      </c>
      <c r="E844" s="371" t="s">
        <v>1942</v>
      </c>
      <c r="F844" s="376" t="s">
        <v>29</v>
      </c>
      <c r="G844" s="377"/>
      <c r="H844" s="372" t="s">
        <v>2165</v>
      </c>
      <c r="I844" s="373" t="s">
        <v>2165</v>
      </c>
      <c r="J844" s="374">
        <v>2792.11</v>
      </c>
      <c r="K844" s="378">
        <v>7001320363</v>
      </c>
      <c r="L844" s="379">
        <v>0.12940750901647857</v>
      </c>
    </row>
    <row r="845" spans="1:12" ht="30" x14ac:dyDescent="0.25">
      <c r="A845" s="375" t="s">
        <v>972</v>
      </c>
      <c r="B845" s="376" t="s">
        <v>972</v>
      </c>
      <c r="C845" s="370" t="s">
        <v>2165</v>
      </c>
      <c r="D845" s="370" t="s">
        <v>2165</v>
      </c>
      <c r="E845" s="371" t="s">
        <v>2284</v>
      </c>
      <c r="F845" s="376" t="s">
        <v>20</v>
      </c>
      <c r="G845" s="377"/>
      <c r="H845" s="372" t="s">
        <v>2165</v>
      </c>
      <c r="I845" s="373" t="s">
        <v>2165</v>
      </c>
      <c r="J845" s="374">
        <v>1042.48</v>
      </c>
      <c r="K845" s="378">
        <v>7001320435</v>
      </c>
      <c r="L845" s="379">
        <v>0</v>
      </c>
    </row>
    <row r="846" spans="1:12" ht="34.5" customHeight="1" x14ac:dyDescent="0.25">
      <c r="A846" s="375" t="s">
        <v>973</v>
      </c>
      <c r="B846" s="376" t="s">
        <v>973</v>
      </c>
      <c r="C846" s="370" t="s">
        <v>2165</v>
      </c>
      <c r="D846" s="370" t="s">
        <v>2165</v>
      </c>
      <c r="E846" s="371" t="s">
        <v>1943</v>
      </c>
      <c r="F846" s="376" t="s">
        <v>20</v>
      </c>
      <c r="G846" s="377"/>
      <c r="H846" s="372" t="s">
        <v>2165</v>
      </c>
      <c r="I846" s="373" t="s">
        <v>2165</v>
      </c>
      <c r="J846" s="374">
        <v>668.98</v>
      </c>
      <c r="K846" s="378">
        <v>7001320364</v>
      </c>
      <c r="L846" s="379">
        <v>0</v>
      </c>
    </row>
    <row r="847" spans="1:12" ht="30" x14ac:dyDescent="0.25">
      <c r="A847" s="380" t="s">
        <v>974</v>
      </c>
      <c r="B847" s="380" t="s">
        <v>974</v>
      </c>
      <c r="C847" s="370" t="s">
        <v>2165</v>
      </c>
      <c r="D847" s="370" t="s">
        <v>2165</v>
      </c>
      <c r="E847" s="371" t="s">
        <v>1944</v>
      </c>
      <c r="F847" s="376" t="s">
        <v>29</v>
      </c>
      <c r="G847" s="377"/>
      <c r="H847" s="372" t="s">
        <v>2165</v>
      </c>
      <c r="I847" s="373" t="s">
        <v>2165</v>
      </c>
      <c r="J847" s="374">
        <v>715.87</v>
      </c>
      <c r="K847" s="378">
        <v>7001320433</v>
      </c>
      <c r="L847" s="379">
        <v>0</v>
      </c>
    </row>
    <row r="848" spans="1:12" ht="30" x14ac:dyDescent="0.25">
      <c r="A848" s="375" t="s">
        <v>975</v>
      </c>
      <c r="B848" s="376" t="s">
        <v>975</v>
      </c>
      <c r="C848" s="370" t="s">
        <v>2165</v>
      </c>
      <c r="D848" s="370" t="s">
        <v>2165</v>
      </c>
      <c r="E848" s="371" t="s">
        <v>1945</v>
      </c>
      <c r="F848" s="376" t="s">
        <v>29</v>
      </c>
      <c r="G848" s="377"/>
      <c r="H848" s="372" t="s">
        <v>2165</v>
      </c>
      <c r="I848" s="373" t="s">
        <v>2165</v>
      </c>
      <c r="J848" s="374">
        <v>1212.97</v>
      </c>
      <c r="K848" s="378">
        <v>7001320378</v>
      </c>
      <c r="L848" s="379">
        <v>0</v>
      </c>
    </row>
    <row r="849" spans="1:12" ht="30" x14ac:dyDescent="0.25">
      <c r="A849" s="375" t="s">
        <v>976</v>
      </c>
      <c r="B849" s="376" t="s">
        <v>976</v>
      </c>
      <c r="C849" s="370" t="s">
        <v>2165</v>
      </c>
      <c r="D849" s="370" t="s">
        <v>2165</v>
      </c>
      <c r="E849" s="371" t="s">
        <v>1946</v>
      </c>
      <c r="F849" s="376" t="s">
        <v>29</v>
      </c>
      <c r="G849" s="377"/>
      <c r="H849" s="372" t="s">
        <v>2165</v>
      </c>
      <c r="I849" s="373" t="s">
        <v>2165</v>
      </c>
      <c r="J849" s="374">
        <v>2281.19</v>
      </c>
      <c r="K849" s="378">
        <v>7001320379</v>
      </c>
      <c r="L849" s="379">
        <v>0</v>
      </c>
    </row>
    <row r="850" spans="1:12" s="10" customFormat="1" x14ac:dyDescent="0.25">
      <c r="A850" s="34">
        <v>86</v>
      </c>
      <c r="B850" s="174" t="s">
        <v>2165</v>
      </c>
      <c r="C850" s="383" t="s">
        <v>2165</v>
      </c>
      <c r="D850" s="383" t="s">
        <v>2165</v>
      </c>
      <c r="E850" s="384" t="s">
        <v>595</v>
      </c>
      <c r="F850" s="174"/>
      <c r="G850" s="175"/>
      <c r="H850" s="385" t="s">
        <v>2165</v>
      </c>
      <c r="I850" s="386" t="s">
        <v>2165</v>
      </c>
      <c r="J850" s="387" t="s">
        <v>2165</v>
      </c>
      <c r="K850" s="282" t="s">
        <v>2165</v>
      </c>
      <c r="L850" s="285" t="s">
        <v>2165</v>
      </c>
    </row>
    <row r="851" spans="1:12" s="10" customFormat="1" x14ac:dyDescent="0.25">
      <c r="A851" s="34" t="s">
        <v>1121</v>
      </c>
      <c r="B851" s="174" t="s">
        <v>2165</v>
      </c>
      <c r="C851" s="383" t="s">
        <v>2165</v>
      </c>
      <c r="D851" s="383" t="s">
        <v>2165</v>
      </c>
      <c r="E851" s="384" t="s">
        <v>596</v>
      </c>
      <c r="F851" s="174"/>
      <c r="G851" s="175"/>
      <c r="H851" s="385" t="s">
        <v>2165</v>
      </c>
      <c r="I851" s="386" t="s">
        <v>2165</v>
      </c>
      <c r="J851" s="387" t="s">
        <v>2165</v>
      </c>
      <c r="K851" s="282" t="s">
        <v>2165</v>
      </c>
      <c r="L851" s="285" t="s">
        <v>2165</v>
      </c>
    </row>
    <row r="852" spans="1:12" x14ac:dyDescent="0.25">
      <c r="A852" s="375" t="s">
        <v>1332</v>
      </c>
      <c r="B852" s="376" t="s">
        <v>1332</v>
      </c>
      <c r="C852" s="370" t="s">
        <v>2165</v>
      </c>
      <c r="D852" s="370" t="s">
        <v>2165</v>
      </c>
      <c r="E852" s="371" t="s">
        <v>1947</v>
      </c>
      <c r="F852" s="376" t="s">
        <v>23</v>
      </c>
      <c r="G852" s="377"/>
      <c r="H852" s="372" t="s">
        <v>2165</v>
      </c>
      <c r="I852" s="373" t="s">
        <v>2165</v>
      </c>
      <c r="J852" s="374">
        <v>336.8</v>
      </c>
      <c r="K852" s="378">
        <v>7001330001</v>
      </c>
      <c r="L852" s="379">
        <v>0</v>
      </c>
    </row>
    <row r="853" spans="1:12" x14ac:dyDescent="0.25">
      <c r="A853" s="375" t="s">
        <v>1333</v>
      </c>
      <c r="B853" s="376" t="s">
        <v>1333</v>
      </c>
      <c r="C853" s="370" t="s">
        <v>2165</v>
      </c>
      <c r="D853" s="370" t="s">
        <v>2165</v>
      </c>
      <c r="E853" s="371" t="s">
        <v>1948</v>
      </c>
      <c r="F853" s="376" t="s">
        <v>34</v>
      </c>
      <c r="G853" s="377"/>
      <c r="H853" s="372" t="s">
        <v>2165</v>
      </c>
      <c r="I853" s="373" t="s">
        <v>2165</v>
      </c>
      <c r="J853" s="374">
        <v>71.569999999999993</v>
      </c>
      <c r="K853" s="378">
        <v>7001330002</v>
      </c>
      <c r="L853" s="379">
        <v>0</v>
      </c>
    </row>
    <row r="854" spans="1:12" s="10" customFormat="1" x14ac:dyDescent="0.25">
      <c r="A854" s="34" t="s">
        <v>1122</v>
      </c>
      <c r="B854" s="174" t="s">
        <v>2165</v>
      </c>
      <c r="C854" s="383" t="s">
        <v>2165</v>
      </c>
      <c r="D854" s="383" t="s">
        <v>2165</v>
      </c>
      <c r="E854" s="384" t="s">
        <v>597</v>
      </c>
      <c r="F854" s="174"/>
      <c r="G854" s="175"/>
      <c r="H854" s="385" t="s">
        <v>2165</v>
      </c>
      <c r="I854" s="386" t="s">
        <v>2165</v>
      </c>
      <c r="J854" s="387" t="s">
        <v>2165</v>
      </c>
      <c r="K854" s="282" t="s">
        <v>2165</v>
      </c>
      <c r="L854" s="285" t="s">
        <v>2165</v>
      </c>
    </row>
    <row r="855" spans="1:12" x14ac:dyDescent="0.25">
      <c r="A855" s="375" t="s">
        <v>1334</v>
      </c>
      <c r="B855" s="376" t="s">
        <v>1334</v>
      </c>
      <c r="C855" s="370" t="s">
        <v>2165</v>
      </c>
      <c r="D855" s="370" t="s">
        <v>2165</v>
      </c>
      <c r="E855" s="371" t="s">
        <v>1949</v>
      </c>
      <c r="F855" s="376" t="s">
        <v>23</v>
      </c>
      <c r="G855" s="377"/>
      <c r="H855" s="372" t="s">
        <v>2165</v>
      </c>
      <c r="I855" s="373" t="s">
        <v>2165</v>
      </c>
      <c r="J855" s="374">
        <v>390.47</v>
      </c>
      <c r="K855" s="378">
        <v>7001340001</v>
      </c>
      <c r="L855" s="379">
        <v>0</v>
      </c>
    </row>
    <row r="856" spans="1:12" x14ac:dyDescent="0.25">
      <c r="A856" s="375" t="s">
        <v>1335</v>
      </c>
      <c r="B856" s="376" t="s">
        <v>1335</v>
      </c>
      <c r="C856" s="370" t="s">
        <v>2165</v>
      </c>
      <c r="D856" s="370" t="s">
        <v>2165</v>
      </c>
      <c r="E856" s="371" t="s">
        <v>1950</v>
      </c>
      <c r="F856" s="376" t="s">
        <v>23</v>
      </c>
      <c r="G856" s="377"/>
      <c r="H856" s="372" t="s">
        <v>2165</v>
      </c>
      <c r="I856" s="373" t="s">
        <v>2165</v>
      </c>
      <c r="J856" s="374">
        <v>586.24</v>
      </c>
      <c r="K856" s="378">
        <v>7001340002</v>
      </c>
      <c r="L856" s="379">
        <v>0</v>
      </c>
    </row>
    <row r="857" spans="1:12" x14ac:dyDescent="0.25">
      <c r="A857" s="375" t="s">
        <v>1336</v>
      </c>
      <c r="B857" s="376" t="s">
        <v>1336</v>
      </c>
      <c r="C857" s="370" t="s">
        <v>2165</v>
      </c>
      <c r="D857" s="370" t="s">
        <v>2165</v>
      </c>
      <c r="E857" s="371" t="s">
        <v>1951</v>
      </c>
      <c r="F857" s="376" t="s">
        <v>23</v>
      </c>
      <c r="G857" s="377"/>
      <c r="H857" s="372" t="s">
        <v>2165</v>
      </c>
      <c r="I857" s="373" t="s">
        <v>2165</v>
      </c>
      <c r="J857" s="374">
        <v>1171.43</v>
      </c>
      <c r="K857" s="378">
        <v>7001340003</v>
      </c>
      <c r="L857" s="379">
        <v>0</v>
      </c>
    </row>
    <row r="858" spans="1:12" x14ac:dyDescent="0.25">
      <c r="A858" s="375" t="s">
        <v>1337</v>
      </c>
      <c r="B858" s="376" t="s">
        <v>1337</v>
      </c>
      <c r="C858" s="370" t="s">
        <v>2165</v>
      </c>
      <c r="D858" s="370" t="s">
        <v>2165</v>
      </c>
      <c r="E858" s="371" t="s">
        <v>1952</v>
      </c>
      <c r="F858" s="376" t="s">
        <v>23</v>
      </c>
      <c r="G858" s="377"/>
      <c r="H858" s="372" t="s">
        <v>2165</v>
      </c>
      <c r="I858" s="373" t="s">
        <v>2165</v>
      </c>
      <c r="J858" s="374">
        <v>127.35</v>
      </c>
      <c r="K858" s="378">
        <v>7001340004</v>
      </c>
      <c r="L858" s="379">
        <v>0</v>
      </c>
    </row>
    <row r="859" spans="1:12" x14ac:dyDescent="0.25">
      <c r="A859" s="375" t="s">
        <v>1338</v>
      </c>
      <c r="B859" s="376" t="s">
        <v>1338</v>
      </c>
      <c r="C859" s="370" t="s">
        <v>2165</v>
      </c>
      <c r="D859" s="370" t="s">
        <v>2165</v>
      </c>
      <c r="E859" s="371" t="s">
        <v>1953</v>
      </c>
      <c r="F859" s="376" t="s">
        <v>20</v>
      </c>
      <c r="G859" s="377"/>
      <c r="H859" s="372" t="s">
        <v>2165</v>
      </c>
      <c r="I859" s="373" t="s">
        <v>2165</v>
      </c>
      <c r="J859" s="374">
        <v>19.36</v>
      </c>
      <c r="K859" s="378">
        <v>7001340005</v>
      </c>
      <c r="L859" s="379">
        <v>0</v>
      </c>
    </row>
    <row r="860" spans="1:12" x14ac:dyDescent="0.25">
      <c r="A860" s="375" t="s">
        <v>977</v>
      </c>
      <c r="B860" s="376" t="s">
        <v>977</v>
      </c>
      <c r="C860" s="370" t="s">
        <v>2165</v>
      </c>
      <c r="D860" s="370" t="s">
        <v>2165</v>
      </c>
      <c r="E860" s="371" t="s">
        <v>1954</v>
      </c>
      <c r="F860" s="376" t="s">
        <v>20</v>
      </c>
      <c r="G860" s="377"/>
      <c r="H860" s="372" t="s">
        <v>2165</v>
      </c>
      <c r="I860" s="373" t="s">
        <v>2165</v>
      </c>
      <c r="J860" s="374">
        <v>6.3100000000000014</v>
      </c>
      <c r="K860" s="378">
        <v>7001340047</v>
      </c>
      <c r="L860" s="379">
        <v>0.3429515482243804</v>
      </c>
    </row>
    <row r="861" spans="1:12" s="10" customFormat="1" x14ac:dyDescent="0.25">
      <c r="A861" s="34">
        <v>87</v>
      </c>
      <c r="B861" s="174" t="s">
        <v>2165</v>
      </c>
      <c r="C861" s="383" t="s">
        <v>2165</v>
      </c>
      <c r="D861" s="383" t="s">
        <v>2165</v>
      </c>
      <c r="E861" s="384" t="s">
        <v>598</v>
      </c>
      <c r="F861" s="174"/>
      <c r="G861" s="175"/>
      <c r="H861" s="385" t="s">
        <v>2165</v>
      </c>
      <c r="I861" s="386" t="s">
        <v>2165</v>
      </c>
      <c r="J861" s="387" t="s">
        <v>2165</v>
      </c>
      <c r="K861" s="282" t="s">
        <v>2165</v>
      </c>
      <c r="L861" s="285" t="s">
        <v>2165</v>
      </c>
    </row>
    <row r="862" spans="1:12" ht="30" x14ac:dyDescent="0.25">
      <c r="A862" s="375" t="s">
        <v>1032</v>
      </c>
      <c r="B862" s="376" t="s">
        <v>1032</v>
      </c>
      <c r="C862" s="370" t="s">
        <v>2165</v>
      </c>
      <c r="D862" s="370" t="s">
        <v>2165</v>
      </c>
      <c r="E862" s="371" t="s">
        <v>1613</v>
      </c>
      <c r="F862" s="376" t="s">
        <v>20</v>
      </c>
      <c r="G862" s="377"/>
      <c r="H862" s="372" t="s">
        <v>2165</v>
      </c>
      <c r="I862" s="373" t="s">
        <v>2165</v>
      </c>
      <c r="J862" s="374">
        <v>0.30000000000000004</v>
      </c>
      <c r="K862" s="378">
        <v>7001220195</v>
      </c>
      <c r="L862" s="379">
        <v>0.30635610671303709</v>
      </c>
    </row>
    <row r="863" spans="1:12" ht="30" x14ac:dyDescent="0.25">
      <c r="A863" s="375" t="s">
        <v>1289</v>
      </c>
      <c r="B863" s="376" t="s">
        <v>1289</v>
      </c>
      <c r="C863" s="370" t="s">
        <v>2165</v>
      </c>
      <c r="D863" s="370" t="s">
        <v>2165</v>
      </c>
      <c r="E863" s="371" t="s">
        <v>1615</v>
      </c>
      <c r="F863" s="376" t="s">
        <v>20</v>
      </c>
      <c r="G863" s="377"/>
      <c r="H863" s="372" t="s">
        <v>2165</v>
      </c>
      <c r="I863" s="373" t="s">
        <v>2165</v>
      </c>
      <c r="J863" s="374">
        <v>0.84000000000000008</v>
      </c>
      <c r="K863" s="378">
        <v>7001220196</v>
      </c>
      <c r="L863" s="379">
        <v>0.30479306535225636</v>
      </c>
    </row>
    <row r="864" spans="1:12" ht="30" x14ac:dyDescent="0.25">
      <c r="A864" s="375" t="s">
        <v>1290</v>
      </c>
      <c r="B864" s="376" t="s">
        <v>1290</v>
      </c>
      <c r="C864" s="370" t="s">
        <v>2165</v>
      </c>
      <c r="D864" s="370" t="s">
        <v>2165</v>
      </c>
      <c r="E864" s="371" t="s">
        <v>1617</v>
      </c>
      <c r="F864" s="376" t="s">
        <v>20</v>
      </c>
      <c r="G864" s="377"/>
      <c r="H864" s="372" t="s">
        <v>2165</v>
      </c>
      <c r="I864" s="373" t="s">
        <v>2165</v>
      </c>
      <c r="J864" s="374">
        <v>0.92999999999999994</v>
      </c>
      <c r="K864" s="378">
        <v>7001220197</v>
      </c>
      <c r="L864" s="379">
        <v>0.30706199635984144</v>
      </c>
    </row>
    <row r="865" spans="1:12" ht="30" x14ac:dyDescent="0.25">
      <c r="A865" s="375" t="s">
        <v>1291</v>
      </c>
      <c r="B865" s="376" t="s">
        <v>1291</v>
      </c>
      <c r="C865" s="370" t="s">
        <v>2165</v>
      </c>
      <c r="D865" s="370" t="s">
        <v>2165</v>
      </c>
      <c r="E865" s="371" t="s">
        <v>1618</v>
      </c>
      <c r="F865" s="376" t="s">
        <v>20</v>
      </c>
      <c r="G865" s="377"/>
      <c r="H865" s="372" t="s">
        <v>2165</v>
      </c>
      <c r="I865" s="373" t="s">
        <v>2165</v>
      </c>
      <c r="J865" s="374">
        <v>1.4100000000000001</v>
      </c>
      <c r="K865" s="378">
        <v>7001220198</v>
      </c>
      <c r="L865" s="379">
        <v>0.30495934634808408</v>
      </c>
    </row>
    <row r="866" spans="1:12" ht="30" x14ac:dyDescent="0.25">
      <c r="A866" s="375" t="s">
        <v>1292</v>
      </c>
      <c r="B866" s="376" t="s">
        <v>1292</v>
      </c>
      <c r="C866" s="370" t="s">
        <v>2165</v>
      </c>
      <c r="D866" s="370" t="s">
        <v>2165</v>
      </c>
      <c r="E866" s="371" t="s">
        <v>1619</v>
      </c>
      <c r="F866" s="376" t="s">
        <v>20</v>
      </c>
      <c r="G866" s="377"/>
      <c r="H866" s="372" t="s">
        <v>2165</v>
      </c>
      <c r="I866" s="373" t="s">
        <v>2165</v>
      </c>
      <c r="J866" s="374">
        <v>1.8599999999999999</v>
      </c>
      <c r="K866" s="378">
        <v>7001220199</v>
      </c>
      <c r="L866" s="379">
        <v>0.30706199635984144</v>
      </c>
    </row>
    <row r="867" spans="1:12" ht="30" x14ac:dyDescent="0.25">
      <c r="A867" s="375" t="s">
        <v>1293</v>
      </c>
      <c r="B867" s="376" t="s">
        <v>1293</v>
      </c>
      <c r="C867" s="370" t="s">
        <v>2165</v>
      </c>
      <c r="D867" s="370" t="s">
        <v>2165</v>
      </c>
      <c r="E867" s="371" t="s">
        <v>1620</v>
      </c>
      <c r="F867" s="376" t="s">
        <v>20</v>
      </c>
      <c r="G867" s="377"/>
      <c r="H867" s="372" t="s">
        <v>2165</v>
      </c>
      <c r="I867" s="373" t="s">
        <v>2165</v>
      </c>
      <c r="J867" s="374">
        <v>2.3400000000000003</v>
      </c>
      <c r="K867" s="378">
        <v>7001220200</v>
      </c>
      <c r="L867" s="379">
        <v>0.30579501494250044</v>
      </c>
    </row>
    <row r="868" spans="1:12" ht="30" x14ac:dyDescent="0.25">
      <c r="A868" s="375" t="s">
        <v>1294</v>
      </c>
      <c r="B868" s="376" t="s">
        <v>1294</v>
      </c>
      <c r="C868" s="370" t="s">
        <v>2165</v>
      </c>
      <c r="D868" s="370" t="s">
        <v>2165</v>
      </c>
      <c r="E868" s="371" t="s">
        <v>1621</v>
      </c>
      <c r="F868" s="376" t="s">
        <v>20</v>
      </c>
      <c r="G868" s="377"/>
      <c r="H868" s="372" t="s">
        <v>2165</v>
      </c>
      <c r="I868" s="373" t="s">
        <v>2165</v>
      </c>
      <c r="J868" s="374">
        <v>2.7800000000000002</v>
      </c>
      <c r="K868" s="378">
        <v>7001220201</v>
      </c>
      <c r="L868" s="379">
        <v>0.30934725061208529</v>
      </c>
    </row>
    <row r="869" spans="1:12" ht="30" x14ac:dyDescent="0.25">
      <c r="A869" s="375" t="s">
        <v>1295</v>
      </c>
      <c r="B869" s="376" t="s">
        <v>1295</v>
      </c>
      <c r="C869" s="370" t="s">
        <v>2165</v>
      </c>
      <c r="D869" s="370" t="s">
        <v>2165</v>
      </c>
      <c r="E869" s="371" t="s">
        <v>1622</v>
      </c>
      <c r="F869" s="376" t="s">
        <v>20</v>
      </c>
      <c r="G869" s="377"/>
      <c r="H869" s="372" t="s">
        <v>2165</v>
      </c>
      <c r="I869" s="373" t="s">
        <v>2165</v>
      </c>
      <c r="J869" s="374">
        <v>3.28</v>
      </c>
      <c r="K869" s="378">
        <v>7001220202</v>
      </c>
      <c r="L869" s="379">
        <v>0.3052219486524706</v>
      </c>
    </row>
    <row r="870" spans="1:12" ht="30" x14ac:dyDescent="0.25">
      <c r="A870" s="375" t="s">
        <v>1296</v>
      </c>
      <c r="B870" s="376" t="s">
        <v>1296</v>
      </c>
      <c r="C870" s="370" t="s">
        <v>2165</v>
      </c>
      <c r="D870" s="370" t="s">
        <v>2165</v>
      </c>
      <c r="E870" s="371" t="s">
        <v>1623</v>
      </c>
      <c r="F870" s="376" t="s">
        <v>20</v>
      </c>
      <c r="G870" s="377"/>
      <c r="H870" s="372" t="s">
        <v>2165</v>
      </c>
      <c r="I870" s="373" t="s">
        <v>2165</v>
      </c>
      <c r="J870" s="374">
        <v>3.74</v>
      </c>
      <c r="K870" s="378">
        <v>7001220203</v>
      </c>
      <c r="L870" s="379">
        <v>0.30629759714338228</v>
      </c>
    </row>
    <row r="871" spans="1:12" ht="30" x14ac:dyDescent="0.25">
      <c r="A871" s="375" t="s">
        <v>1297</v>
      </c>
      <c r="B871" s="376" t="s">
        <v>1297</v>
      </c>
      <c r="C871" s="370" t="s">
        <v>2165</v>
      </c>
      <c r="D871" s="370" t="s">
        <v>2165</v>
      </c>
      <c r="E871" s="371" t="s">
        <v>1624</v>
      </c>
      <c r="F871" s="376" t="s">
        <v>20</v>
      </c>
      <c r="G871" s="377"/>
      <c r="H871" s="372" t="s">
        <v>2165</v>
      </c>
      <c r="I871" s="373" t="s">
        <v>2165</v>
      </c>
      <c r="J871" s="374">
        <v>4.79</v>
      </c>
      <c r="K871" s="378">
        <v>7001220204</v>
      </c>
      <c r="L871" s="379">
        <v>0.29945784066566633</v>
      </c>
    </row>
    <row r="872" spans="1:12" x14ac:dyDescent="0.25">
      <c r="A872" s="375" t="s">
        <v>1030</v>
      </c>
      <c r="B872" s="376" t="s">
        <v>1030</v>
      </c>
      <c r="C872" s="370" t="s">
        <v>2165</v>
      </c>
      <c r="D872" s="370" t="s">
        <v>2165</v>
      </c>
      <c r="E872" s="371" t="s">
        <v>1610</v>
      </c>
      <c r="F872" s="376" t="s">
        <v>78</v>
      </c>
      <c r="G872" s="377"/>
      <c r="H872" s="372" t="s">
        <v>2165</v>
      </c>
      <c r="I872" s="373" t="s">
        <v>2165</v>
      </c>
      <c r="J872" s="374">
        <v>59.03</v>
      </c>
      <c r="K872" s="378">
        <v>7001210278</v>
      </c>
      <c r="L872" s="379">
        <v>0.26974180325953079</v>
      </c>
    </row>
    <row r="873" spans="1:12" x14ac:dyDescent="0.25">
      <c r="A873" s="375" t="s">
        <v>1031</v>
      </c>
      <c r="B873" s="376" t="s">
        <v>1031</v>
      </c>
      <c r="C873" s="370" t="s">
        <v>2165</v>
      </c>
      <c r="D873" s="370" t="s">
        <v>2165</v>
      </c>
      <c r="E873" s="371" t="s">
        <v>2266</v>
      </c>
      <c r="F873" s="376" t="s">
        <v>78</v>
      </c>
      <c r="G873" s="377"/>
      <c r="H873" s="372" t="s">
        <v>2165</v>
      </c>
      <c r="I873" s="373" t="s">
        <v>2165</v>
      </c>
      <c r="J873" s="374">
        <v>90.69</v>
      </c>
      <c r="K873" s="378">
        <v>7001210279</v>
      </c>
      <c r="L873" s="379">
        <v>0.27122678604321293</v>
      </c>
    </row>
    <row r="874" spans="1:12" s="10" customFormat="1" x14ac:dyDescent="0.25">
      <c r="A874" s="34">
        <v>88</v>
      </c>
      <c r="B874" s="174" t="s">
        <v>2165</v>
      </c>
      <c r="C874" s="383" t="s">
        <v>2165</v>
      </c>
      <c r="D874" s="383" t="s">
        <v>2165</v>
      </c>
      <c r="E874" s="384" t="s">
        <v>599</v>
      </c>
      <c r="F874" s="174"/>
      <c r="G874" s="175"/>
      <c r="H874" s="385" t="s">
        <v>2165</v>
      </c>
      <c r="I874" s="386" t="s">
        <v>2165</v>
      </c>
      <c r="J874" s="387" t="s">
        <v>2165</v>
      </c>
      <c r="K874" s="282" t="s">
        <v>2165</v>
      </c>
      <c r="L874" s="285" t="s">
        <v>2165</v>
      </c>
    </row>
    <row r="875" spans="1:12" s="10" customFormat="1" x14ac:dyDescent="0.25">
      <c r="A875" s="34" t="s">
        <v>1123</v>
      </c>
      <c r="B875" s="174" t="s">
        <v>2165</v>
      </c>
      <c r="C875" s="383" t="s">
        <v>2165</v>
      </c>
      <c r="D875" s="383" t="s">
        <v>2165</v>
      </c>
      <c r="E875" s="384" t="s">
        <v>601</v>
      </c>
      <c r="F875" s="174"/>
      <c r="G875" s="175"/>
      <c r="H875" s="385" t="s">
        <v>2165</v>
      </c>
      <c r="I875" s="386" t="s">
        <v>2165</v>
      </c>
      <c r="J875" s="387" t="s">
        <v>2165</v>
      </c>
      <c r="K875" s="282" t="s">
        <v>2165</v>
      </c>
      <c r="L875" s="285" t="s">
        <v>2165</v>
      </c>
    </row>
    <row r="876" spans="1:12" ht="30" x14ac:dyDescent="0.25">
      <c r="A876" s="375" t="s">
        <v>978</v>
      </c>
      <c r="B876" s="376" t="s">
        <v>978</v>
      </c>
      <c r="C876" s="370" t="s">
        <v>2165</v>
      </c>
      <c r="D876" s="370" t="s">
        <v>2165</v>
      </c>
      <c r="E876" s="371" t="s">
        <v>1955</v>
      </c>
      <c r="F876" s="376" t="s">
        <v>23</v>
      </c>
      <c r="G876" s="377"/>
      <c r="H876" s="372" t="s">
        <v>2165</v>
      </c>
      <c r="I876" s="373" t="s">
        <v>2165</v>
      </c>
      <c r="J876" s="374">
        <v>204.8</v>
      </c>
      <c r="K876" s="378">
        <v>7001300194</v>
      </c>
      <c r="L876" s="379">
        <v>0</v>
      </c>
    </row>
    <row r="877" spans="1:12" ht="30" x14ac:dyDescent="0.25">
      <c r="A877" s="375" t="s">
        <v>979</v>
      </c>
      <c r="B877" s="376" t="s">
        <v>979</v>
      </c>
      <c r="C877" s="370" t="s">
        <v>2165</v>
      </c>
      <c r="D877" s="370" t="s">
        <v>2165</v>
      </c>
      <c r="E877" s="371" t="s">
        <v>1956</v>
      </c>
      <c r="F877" s="376" t="s">
        <v>23</v>
      </c>
      <c r="G877" s="377"/>
      <c r="H877" s="372" t="s">
        <v>2165</v>
      </c>
      <c r="I877" s="373" t="s">
        <v>2165</v>
      </c>
      <c r="J877" s="374">
        <v>288.99</v>
      </c>
      <c r="K877" s="378">
        <v>7001300195</v>
      </c>
      <c r="L877" s="379">
        <v>4.5748137297597869E-3</v>
      </c>
    </row>
    <row r="878" spans="1:12" ht="30" x14ac:dyDescent="0.25">
      <c r="A878" s="375" t="s">
        <v>980</v>
      </c>
      <c r="B878" s="376" t="s">
        <v>980</v>
      </c>
      <c r="C878" s="370" t="s">
        <v>2165</v>
      </c>
      <c r="D878" s="370" t="s">
        <v>2165</v>
      </c>
      <c r="E878" s="371" t="s">
        <v>1957</v>
      </c>
      <c r="F878" s="376" t="s">
        <v>23</v>
      </c>
      <c r="G878" s="377"/>
      <c r="H878" s="372" t="s">
        <v>2165</v>
      </c>
      <c r="I878" s="373" t="s">
        <v>2165</v>
      </c>
      <c r="J878" s="374">
        <v>180.76999999999998</v>
      </c>
      <c r="K878" s="378">
        <v>7001300196</v>
      </c>
      <c r="L878" s="379">
        <v>0</v>
      </c>
    </row>
    <row r="879" spans="1:12" ht="30" x14ac:dyDescent="0.25">
      <c r="A879" s="375" t="s">
        <v>981</v>
      </c>
      <c r="B879" s="376" t="s">
        <v>981</v>
      </c>
      <c r="C879" s="370" t="s">
        <v>2165</v>
      </c>
      <c r="D879" s="370" t="s">
        <v>2165</v>
      </c>
      <c r="E879" s="371" t="s">
        <v>1958</v>
      </c>
      <c r="F879" s="376" t="s">
        <v>23</v>
      </c>
      <c r="G879" s="377"/>
      <c r="H879" s="372" t="s">
        <v>2165</v>
      </c>
      <c r="I879" s="373" t="s">
        <v>2165</v>
      </c>
      <c r="J879" s="374">
        <v>254.16</v>
      </c>
      <c r="K879" s="378">
        <v>7002030120</v>
      </c>
      <c r="L879" s="379">
        <v>8.5221907459867796E-2</v>
      </c>
    </row>
    <row r="880" spans="1:12" x14ac:dyDescent="0.25">
      <c r="A880" s="375" t="s">
        <v>1339</v>
      </c>
      <c r="B880" s="376" t="s">
        <v>1339</v>
      </c>
      <c r="C880" s="370" t="s">
        <v>2165</v>
      </c>
      <c r="D880" s="370" t="s">
        <v>2165</v>
      </c>
      <c r="E880" s="371" t="s">
        <v>1959</v>
      </c>
      <c r="F880" s="376" t="s">
        <v>23</v>
      </c>
      <c r="G880" s="377"/>
      <c r="H880" s="372" t="s">
        <v>2165</v>
      </c>
      <c r="I880" s="373" t="s">
        <v>2165</v>
      </c>
      <c r="J880" s="374">
        <v>91.97</v>
      </c>
      <c r="K880" s="378">
        <v>7002030004</v>
      </c>
      <c r="L880" s="379">
        <v>0.23551157986299881</v>
      </c>
    </row>
    <row r="881" spans="1:12" x14ac:dyDescent="0.25">
      <c r="A881" s="375" t="s">
        <v>1340</v>
      </c>
      <c r="B881" s="376" t="s">
        <v>1340</v>
      </c>
      <c r="C881" s="370" t="s">
        <v>2165</v>
      </c>
      <c r="D881" s="370" t="s">
        <v>2165</v>
      </c>
      <c r="E881" s="371" t="s">
        <v>1960</v>
      </c>
      <c r="F881" s="376" t="s">
        <v>23</v>
      </c>
      <c r="G881" s="377"/>
      <c r="H881" s="372" t="s">
        <v>2165</v>
      </c>
      <c r="I881" s="373" t="s">
        <v>2165</v>
      </c>
      <c r="J881" s="374">
        <v>56.86</v>
      </c>
      <c r="K881" s="378">
        <v>7002030005</v>
      </c>
      <c r="L881" s="379">
        <v>0</v>
      </c>
    </row>
    <row r="882" spans="1:12" x14ac:dyDescent="0.25">
      <c r="A882" s="375" t="s">
        <v>1341</v>
      </c>
      <c r="B882" s="376" t="s">
        <v>1341</v>
      </c>
      <c r="C882" s="370" t="s">
        <v>2165</v>
      </c>
      <c r="D882" s="370" t="s">
        <v>2165</v>
      </c>
      <c r="E882" s="371" t="s">
        <v>1961</v>
      </c>
      <c r="F882" s="376" t="s">
        <v>23</v>
      </c>
      <c r="G882" s="377"/>
      <c r="H882" s="372" t="s">
        <v>2165</v>
      </c>
      <c r="I882" s="373" t="s">
        <v>2165</v>
      </c>
      <c r="J882" s="374">
        <v>246.06</v>
      </c>
      <c r="K882" s="378">
        <v>7002030006</v>
      </c>
      <c r="L882" s="379">
        <v>0</v>
      </c>
    </row>
    <row r="883" spans="1:12" x14ac:dyDescent="0.25">
      <c r="A883" s="375" t="s">
        <v>1342</v>
      </c>
      <c r="B883" s="376" t="s">
        <v>1342</v>
      </c>
      <c r="C883" s="370" t="s">
        <v>2165</v>
      </c>
      <c r="D883" s="370" t="s">
        <v>2165</v>
      </c>
      <c r="E883" s="371" t="s">
        <v>1962</v>
      </c>
      <c r="F883" s="376" t="s">
        <v>23</v>
      </c>
      <c r="G883" s="377"/>
      <c r="H883" s="372" t="s">
        <v>2165</v>
      </c>
      <c r="I883" s="373" t="s">
        <v>2165</v>
      </c>
      <c r="J883" s="374">
        <v>549.25</v>
      </c>
      <c r="K883" s="378">
        <v>7002030007</v>
      </c>
      <c r="L883" s="379">
        <v>0</v>
      </c>
    </row>
    <row r="884" spans="1:12" x14ac:dyDescent="0.25">
      <c r="A884" s="375" t="s">
        <v>1343</v>
      </c>
      <c r="B884" s="376" t="s">
        <v>1343</v>
      </c>
      <c r="C884" s="370" t="s">
        <v>2165</v>
      </c>
      <c r="D884" s="370" t="s">
        <v>2165</v>
      </c>
      <c r="E884" s="371" t="s">
        <v>1963</v>
      </c>
      <c r="F884" s="376" t="s">
        <v>23</v>
      </c>
      <c r="G884" s="377"/>
      <c r="H884" s="372" t="s">
        <v>2165</v>
      </c>
      <c r="I884" s="373" t="s">
        <v>2165</v>
      </c>
      <c r="J884" s="374">
        <v>141.44999999999999</v>
      </c>
      <c r="K884" s="378">
        <v>7002030008</v>
      </c>
      <c r="L884" s="379">
        <v>0</v>
      </c>
    </row>
    <row r="885" spans="1:12" ht="30" x14ac:dyDescent="0.25">
      <c r="A885" s="375" t="s">
        <v>982</v>
      </c>
      <c r="B885" s="376" t="s">
        <v>982</v>
      </c>
      <c r="C885" s="370" t="s">
        <v>2165</v>
      </c>
      <c r="D885" s="370" t="s">
        <v>2165</v>
      </c>
      <c r="E885" s="371" t="s">
        <v>1964</v>
      </c>
      <c r="F885" s="376" t="s">
        <v>23</v>
      </c>
      <c r="G885" s="377"/>
      <c r="H885" s="372" t="s">
        <v>2165</v>
      </c>
      <c r="I885" s="373" t="s">
        <v>2165</v>
      </c>
      <c r="J885" s="374">
        <v>276.41000000000003</v>
      </c>
      <c r="K885" s="378">
        <v>7002030126</v>
      </c>
      <c r="L885" s="379">
        <v>2.2792228935277303E-4</v>
      </c>
    </row>
    <row r="886" spans="1:12" ht="30" x14ac:dyDescent="0.25">
      <c r="A886" s="375" t="s">
        <v>983</v>
      </c>
      <c r="B886" s="376" t="s">
        <v>983</v>
      </c>
      <c r="C886" s="370" t="s">
        <v>2165</v>
      </c>
      <c r="D886" s="370" t="s">
        <v>2165</v>
      </c>
      <c r="E886" s="371" t="s">
        <v>1965</v>
      </c>
      <c r="F886" s="376" t="s">
        <v>23</v>
      </c>
      <c r="G886" s="377"/>
      <c r="H886" s="372" t="s">
        <v>2165</v>
      </c>
      <c r="I886" s="373" t="s">
        <v>2165</v>
      </c>
      <c r="J886" s="374">
        <v>284.30999999999995</v>
      </c>
      <c r="K886" s="378">
        <v>7002030127</v>
      </c>
      <c r="L886" s="379">
        <v>4.6501193055583029E-3</v>
      </c>
    </row>
    <row r="887" spans="1:12" s="10" customFormat="1" x14ac:dyDescent="0.25">
      <c r="A887" s="34" t="s">
        <v>1124</v>
      </c>
      <c r="B887" s="174" t="s">
        <v>2165</v>
      </c>
      <c r="C887" s="383" t="s">
        <v>2165</v>
      </c>
      <c r="D887" s="383" t="s">
        <v>2165</v>
      </c>
      <c r="E887" s="384" t="s">
        <v>602</v>
      </c>
      <c r="F887" s="174"/>
      <c r="G887" s="175"/>
      <c r="H887" s="385" t="s">
        <v>2165</v>
      </c>
      <c r="I887" s="386" t="s">
        <v>2165</v>
      </c>
      <c r="J887" s="387" t="s">
        <v>2165</v>
      </c>
      <c r="K887" s="282" t="s">
        <v>2165</v>
      </c>
      <c r="L887" s="285" t="s">
        <v>2165</v>
      </c>
    </row>
    <row r="888" spans="1:12" x14ac:dyDescent="0.25">
      <c r="A888" s="375" t="s">
        <v>984</v>
      </c>
      <c r="B888" s="376" t="s">
        <v>984</v>
      </c>
      <c r="C888" s="370" t="s">
        <v>2165</v>
      </c>
      <c r="D888" s="370" t="s">
        <v>2165</v>
      </c>
      <c r="E888" s="371" t="s">
        <v>1966</v>
      </c>
      <c r="F888" s="376" t="s">
        <v>23</v>
      </c>
      <c r="G888" s="377"/>
      <c r="H888" s="372" t="s">
        <v>2165</v>
      </c>
      <c r="I888" s="373" t="s">
        <v>2165</v>
      </c>
      <c r="J888" s="374">
        <v>32.870000000000005</v>
      </c>
      <c r="K888" s="378">
        <v>7002010331</v>
      </c>
      <c r="L888" s="379">
        <v>0</v>
      </c>
    </row>
    <row r="889" spans="1:12" ht="30" x14ac:dyDescent="0.25">
      <c r="A889" s="375" t="s">
        <v>985</v>
      </c>
      <c r="B889" s="376" t="s">
        <v>985</v>
      </c>
      <c r="C889" s="370" t="s">
        <v>2165</v>
      </c>
      <c r="D889" s="370" t="s">
        <v>2165</v>
      </c>
      <c r="E889" s="371" t="s">
        <v>1967</v>
      </c>
      <c r="F889" s="376" t="s">
        <v>23</v>
      </c>
      <c r="G889" s="377"/>
      <c r="H889" s="372" t="s">
        <v>2165</v>
      </c>
      <c r="I889" s="373" t="s">
        <v>2165</v>
      </c>
      <c r="J889" s="374">
        <v>92.789999999999992</v>
      </c>
      <c r="K889" s="378">
        <v>7002010332</v>
      </c>
      <c r="L889" s="379">
        <v>2.6064658852604961E-3</v>
      </c>
    </row>
    <row r="890" spans="1:12" ht="30" x14ac:dyDescent="0.25">
      <c r="A890" s="375" t="s">
        <v>986</v>
      </c>
      <c r="B890" s="376" t="s">
        <v>986</v>
      </c>
      <c r="C890" s="370" t="s">
        <v>2165</v>
      </c>
      <c r="D890" s="370" t="s">
        <v>2165</v>
      </c>
      <c r="E890" s="371" t="s">
        <v>1968</v>
      </c>
      <c r="F890" s="376" t="s">
        <v>23</v>
      </c>
      <c r="G890" s="377"/>
      <c r="H890" s="372" t="s">
        <v>2165</v>
      </c>
      <c r="I890" s="373" t="s">
        <v>2165</v>
      </c>
      <c r="J890" s="374">
        <v>92.919999999999987</v>
      </c>
      <c r="K890" s="378">
        <v>7002010333</v>
      </c>
      <c r="L890" s="379">
        <v>0</v>
      </c>
    </row>
    <row r="891" spans="1:12" x14ac:dyDescent="0.25">
      <c r="A891" s="375" t="s">
        <v>987</v>
      </c>
      <c r="B891" s="376" t="s">
        <v>987</v>
      </c>
      <c r="C891" s="370" t="s">
        <v>2165</v>
      </c>
      <c r="D891" s="370" t="s">
        <v>2165</v>
      </c>
      <c r="E891" s="371" t="s">
        <v>272</v>
      </c>
      <c r="F891" s="376" t="s">
        <v>23</v>
      </c>
      <c r="G891" s="377"/>
      <c r="H891" s="372" t="s">
        <v>2165</v>
      </c>
      <c r="I891" s="373" t="s">
        <v>2165</v>
      </c>
      <c r="J891" s="374">
        <v>0.92</v>
      </c>
      <c r="K891" s="378">
        <v>7002010334</v>
      </c>
      <c r="L891" s="379">
        <v>0</v>
      </c>
    </row>
    <row r="892" spans="1:12" ht="30" x14ac:dyDescent="0.25">
      <c r="A892" s="375" t="s">
        <v>988</v>
      </c>
      <c r="B892" s="376" t="s">
        <v>988</v>
      </c>
      <c r="C892" s="370" t="s">
        <v>2165</v>
      </c>
      <c r="D892" s="370" t="s">
        <v>2165</v>
      </c>
      <c r="E892" s="371" t="s">
        <v>1969</v>
      </c>
      <c r="F892" s="376" t="s">
        <v>23</v>
      </c>
      <c r="G892" s="377"/>
      <c r="H892" s="372" t="s">
        <v>2165</v>
      </c>
      <c r="I892" s="373" t="s">
        <v>2165</v>
      </c>
      <c r="J892" s="374">
        <v>11.19</v>
      </c>
      <c r="K892" s="378">
        <v>7002010570</v>
      </c>
      <c r="L892" s="379">
        <v>0</v>
      </c>
    </row>
    <row r="893" spans="1:12" s="10" customFormat="1" x14ac:dyDescent="0.25">
      <c r="A893" s="34">
        <v>89</v>
      </c>
      <c r="B893" s="174" t="s">
        <v>2165</v>
      </c>
      <c r="C893" s="383" t="s">
        <v>2165</v>
      </c>
      <c r="D893" s="383" t="s">
        <v>2165</v>
      </c>
      <c r="E893" s="384" t="s">
        <v>603</v>
      </c>
      <c r="F893" s="174"/>
      <c r="G893" s="175"/>
      <c r="H893" s="385" t="s">
        <v>2165</v>
      </c>
      <c r="I893" s="386" t="s">
        <v>2165</v>
      </c>
      <c r="J893" s="387" t="s">
        <v>2165</v>
      </c>
      <c r="K893" s="282" t="s">
        <v>2165</v>
      </c>
      <c r="L893" s="285" t="s">
        <v>2165</v>
      </c>
    </row>
    <row r="894" spans="1:12" s="10" customFormat="1" x14ac:dyDescent="0.25">
      <c r="A894" s="34" t="s">
        <v>600</v>
      </c>
      <c r="B894" s="174" t="s">
        <v>2165</v>
      </c>
      <c r="C894" s="383" t="s">
        <v>2165</v>
      </c>
      <c r="D894" s="383" t="s">
        <v>2165</v>
      </c>
      <c r="E894" s="384" t="s">
        <v>605</v>
      </c>
      <c r="F894" s="174"/>
      <c r="G894" s="175"/>
      <c r="H894" s="385" t="s">
        <v>2165</v>
      </c>
      <c r="I894" s="386" t="s">
        <v>2165</v>
      </c>
      <c r="J894" s="387" t="s">
        <v>2165</v>
      </c>
      <c r="K894" s="282" t="s">
        <v>2165</v>
      </c>
      <c r="L894" s="285" t="s">
        <v>2165</v>
      </c>
    </row>
    <row r="895" spans="1:12" x14ac:dyDescent="0.25">
      <c r="A895" s="375" t="s">
        <v>989</v>
      </c>
      <c r="B895" s="376" t="s">
        <v>989</v>
      </c>
      <c r="C895" s="370" t="s">
        <v>2165</v>
      </c>
      <c r="D895" s="370" t="s">
        <v>2165</v>
      </c>
      <c r="E895" s="371" t="s">
        <v>2267</v>
      </c>
      <c r="F895" s="376" t="s">
        <v>23</v>
      </c>
      <c r="G895" s="377"/>
      <c r="H895" s="372" t="s">
        <v>2165</v>
      </c>
      <c r="I895" s="373" t="s">
        <v>2165</v>
      </c>
      <c r="J895" s="374">
        <v>4.8999999999999995</v>
      </c>
      <c r="K895" s="378">
        <v>7001310216</v>
      </c>
      <c r="L895" s="379">
        <v>6.1224489795918373E-3</v>
      </c>
    </row>
    <row r="896" spans="1:12" x14ac:dyDescent="0.25">
      <c r="A896" s="375" t="s">
        <v>990</v>
      </c>
      <c r="B896" s="376" t="s">
        <v>990</v>
      </c>
      <c r="C896" s="370" t="s">
        <v>2165</v>
      </c>
      <c r="D896" s="370" t="s">
        <v>2165</v>
      </c>
      <c r="E896" s="371" t="s">
        <v>1970</v>
      </c>
      <c r="F896" s="376" t="s">
        <v>1976</v>
      </c>
      <c r="G896" s="377"/>
      <c r="H896" s="372" t="s">
        <v>2165</v>
      </c>
      <c r="I896" s="373" t="s">
        <v>2165</v>
      </c>
      <c r="J896" s="374">
        <v>2397.4500000000003</v>
      </c>
      <c r="K896" s="378">
        <v>7001770021</v>
      </c>
      <c r="L896" s="379">
        <v>3.2326013055538172E-2</v>
      </c>
    </row>
    <row r="897" spans="1:12" ht="52.5" customHeight="1" x14ac:dyDescent="0.25">
      <c r="A897" s="375" t="s">
        <v>991</v>
      </c>
      <c r="B897" s="376" t="s">
        <v>991</v>
      </c>
      <c r="C897" s="370" t="s">
        <v>2165</v>
      </c>
      <c r="D897" s="370" t="s">
        <v>2165</v>
      </c>
      <c r="E897" s="371" t="s">
        <v>2268</v>
      </c>
      <c r="F897" s="376" t="s">
        <v>23</v>
      </c>
      <c r="G897" s="377"/>
      <c r="H897" s="372" t="s">
        <v>2165</v>
      </c>
      <c r="I897" s="373" t="s">
        <v>2165</v>
      </c>
      <c r="J897" s="374">
        <v>13.379999999999997</v>
      </c>
      <c r="K897" s="378">
        <v>7001770003</v>
      </c>
      <c r="L897" s="379">
        <v>7.4738415545590456E-3</v>
      </c>
    </row>
    <row r="898" spans="1:12" x14ac:dyDescent="0.25">
      <c r="A898" s="375" t="s">
        <v>992</v>
      </c>
      <c r="B898" s="376" t="s">
        <v>992</v>
      </c>
      <c r="C898" s="370" t="s">
        <v>2165</v>
      </c>
      <c r="D898" s="370" t="s">
        <v>2165</v>
      </c>
      <c r="E898" s="371" t="s">
        <v>1971</v>
      </c>
      <c r="F898" s="376" t="s">
        <v>1976</v>
      </c>
      <c r="G898" s="377"/>
      <c r="H898" s="372" t="s">
        <v>2165</v>
      </c>
      <c r="I898" s="373" t="s">
        <v>2165</v>
      </c>
      <c r="J898" s="374">
        <v>4144.3899999999994</v>
      </c>
      <c r="K898" s="378">
        <v>7001770019</v>
      </c>
      <c r="L898" s="379">
        <v>0</v>
      </c>
    </row>
    <row r="899" spans="1:12" s="10" customFormat="1" x14ac:dyDescent="0.25">
      <c r="A899" s="34">
        <v>90</v>
      </c>
      <c r="B899" s="174" t="s">
        <v>2165</v>
      </c>
      <c r="C899" s="383" t="s">
        <v>2165</v>
      </c>
      <c r="D899" s="383" t="s">
        <v>2165</v>
      </c>
      <c r="E899" s="384" t="s">
        <v>606</v>
      </c>
      <c r="F899" s="174"/>
      <c r="G899" s="175"/>
      <c r="H899" s="385" t="s">
        <v>2165</v>
      </c>
      <c r="I899" s="386" t="s">
        <v>2165</v>
      </c>
      <c r="J899" s="387" t="s">
        <v>2165</v>
      </c>
      <c r="K899" s="282" t="s">
        <v>2165</v>
      </c>
      <c r="L899" s="285" t="s">
        <v>2165</v>
      </c>
    </row>
    <row r="900" spans="1:12" s="10" customFormat="1" x14ac:dyDescent="0.25">
      <c r="A900" s="34" t="s">
        <v>604</v>
      </c>
      <c r="B900" s="174" t="s">
        <v>2165</v>
      </c>
      <c r="C900" s="383" t="s">
        <v>2165</v>
      </c>
      <c r="D900" s="383" t="s">
        <v>2165</v>
      </c>
      <c r="E900" s="384" t="s">
        <v>607</v>
      </c>
      <c r="F900" s="174"/>
      <c r="G900" s="175"/>
      <c r="H900" s="385" t="s">
        <v>2165</v>
      </c>
      <c r="I900" s="386" t="s">
        <v>2165</v>
      </c>
      <c r="J900" s="387" t="s">
        <v>2165</v>
      </c>
      <c r="K900" s="282" t="s">
        <v>2165</v>
      </c>
      <c r="L900" s="285" t="s">
        <v>2165</v>
      </c>
    </row>
    <row r="901" spans="1:12" ht="30" x14ac:dyDescent="0.25">
      <c r="A901" s="375" t="s">
        <v>993</v>
      </c>
      <c r="B901" s="376" t="s">
        <v>993</v>
      </c>
      <c r="C901" s="370" t="s">
        <v>2165</v>
      </c>
      <c r="D901" s="370" t="s">
        <v>2165</v>
      </c>
      <c r="E901" s="371" t="s">
        <v>274</v>
      </c>
      <c r="F901" s="376" t="s">
        <v>23</v>
      </c>
      <c r="G901" s="377"/>
      <c r="H901" s="372" t="s">
        <v>2165</v>
      </c>
      <c r="I901" s="373" t="s">
        <v>2165</v>
      </c>
      <c r="J901" s="374">
        <v>47145.86</v>
      </c>
      <c r="K901" s="378">
        <v>7001490124</v>
      </c>
      <c r="L901" s="379">
        <v>0</v>
      </c>
    </row>
    <row r="902" spans="1:12" ht="30" x14ac:dyDescent="0.25">
      <c r="A902" s="375" t="s">
        <v>994</v>
      </c>
      <c r="B902" s="376" t="s">
        <v>994</v>
      </c>
      <c r="C902" s="370" t="s">
        <v>2165</v>
      </c>
      <c r="D902" s="370" t="s">
        <v>2165</v>
      </c>
      <c r="E902" s="371" t="s">
        <v>275</v>
      </c>
      <c r="F902" s="376" t="s">
        <v>20</v>
      </c>
      <c r="G902" s="377"/>
      <c r="H902" s="372" t="s">
        <v>2165</v>
      </c>
      <c r="I902" s="373" t="s">
        <v>2165</v>
      </c>
      <c r="J902" s="374">
        <v>2762.59</v>
      </c>
      <c r="K902" s="378">
        <v>7001020492</v>
      </c>
      <c r="L902" s="379">
        <v>0</v>
      </c>
    </row>
    <row r="903" spans="1:12" ht="30" x14ac:dyDescent="0.25">
      <c r="A903" s="375" t="s">
        <v>995</v>
      </c>
      <c r="B903" s="376" t="s">
        <v>995</v>
      </c>
      <c r="C903" s="370" t="s">
        <v>2165</v>
      </c>
      <c r="D903" s="370" t="s">
        <v>2165</v>
      </c>
      <c r="E903" s="371" t="s">
        <v>276</v>
      </c>
      <c r="F903" s="376" t="s">
        <v>20</v>
      </c>
      <c r="G903" s="377"/>
      <c r="H903" s="372" t="s">
        <v>2165</v>
      </c>
      <c r="I903" s="373" t="s">
        <v>2165</v>
      </c>
      <c r="J903" s="374">
        <v>2190.5500000000002</v>
      </c>
      <c r="K903" s="378">
        <v>7001210799</v>
      </c>
      <c r="L903" s="379">
        <v>0</v>
      </c>
    </row>
    <row r="904" spans="1:12" ht="30" x14ac:dyDescent="0.25">
      <c r="A904" s="375" t="s">
        <v>996</v>
      </c>
      <c r="B904" s="376" t="s">
        <v>996</v>
      </c>
      <c r="C904" s="370" t="s">
        <v>2165</v>
      </c>
      <c r="D904" s="370" t="s">
        <v>2165</v>
      </c>
      <c r="E904" s="371" t="s">
        <v>277</v>
      </c>
      <c r="F904" s="376" t="s">
        <v>20</v>
      </c>
      <c r="G904" s="377"/>
      <c r="H904" s="372" t="s">
        <v>2165</v>
      </c>
      <c r="I904" s="373" t="s">
        <v>2165</v>
      </c>
      <c r="J904" s="374">
        <v>1890</v>
      </c>
      <c r="K904" s="378">
        <v>7001020493</v>
      </c>
      <c r="L904" s="379">
        <v>0</v>
      </c>
    </row>
    <row r="905" spans="1:12" ht="30" x14ac:dyDescent="0.25">
      <c r="A905" s="375" t="s">
        <v>997</v>
      </c>
      <c r="B905" s="376" t="s">
        <v>997</v>
      </c>
      <c r="C905" s="370" t="s">
        <v>2165</v>
      </c>
      <c r="D905" s="370" t="s">
        <v>2165</v>
      </c>
      <c r="E905" s="371" t="s">
        <v>278</v>
      </c>
      <c r="F905" s="376" t="s">
        <v>20</v>
      </c>
      <c r="G905" s="377"/>
      <c r="H905" s="372" t="s">
        <v>2165</v>
      </c>
      <c r="I905" s="373" t="s">
        <v>2165</v>
      </c>
      <c r="J905" s="374">
        <v>2565.7199999999998</v>
      </c>
      <c r="K905" s="378">
        <v>7001210800</v>
      </c>
      <c r="L905" s="379">
        <v>0</v>
      </c>
    </row>
    <row r="906" spans="1:12" ht="30" x14ac:dyDescent="0.25">
      <c r="A906" s="375" t="s">
        <v>998</v>
      </c>
      <c r="B906" s="376" t="s">
        <v>998</v>
      </c>
      <c r="C906" s="370" t="s">
        <v>2165</v>
      </c>
      <c r="D906" s="370" t="s">
        <v>2165</v>
      </c>
      <c r="E906" s="371" t="s">
        <v>279</v>
      </c>
      <c r="F906" s="376" t="s">
        <v>20</v>
      </c>
      <c r="G906" s="377"/>
      <c r="H906" s="372" t="s">
        <v>2165</v>
      </c>
      <c r="I906" s="373" t="s">
        <v>2165</v>
      </c>
      <c r="J906" s="374">
        <v>2270.9699999999998</v>
      </c>
      <c r="K906" s="378">
        <v>7001210801</v>
      </c>
      <c r="L906" s="379">
        <v>0</v>
      </c>
    </row>
    <row r="907" spans="1:12" ht="30" x14ac:dyDescent="0.25">
      <c r="A907" s="375" t="s">
        <v>999</v>
      </c>
      <c r="B907" s="376" t="s">
        <v>999</v>
      </c>
      <c r="C907" s="370" t="s">
        <v>2165</v>
      </c>
      <c r="D907" s="370" t="s">
        <v>2165</v>
      </c>
      <c r="E907" s="371" t="s">
        <v>280</v>
      </c>
      <c r="F907" s="376" t="s">
        <v>20</v>
      </c>
      <c r="G907" s="377"/>
      <c r="H907" s="372" t="s">
        <v>2165</v>
      </c>
      <c r="I907" s="373" t="s">
        <v>2165</v>
      </c>
      <c r="J907" s="374">
        <v>1227</v>
      </c>
      <c r="K907" s="378">
        <v>7001210802</v>
      </c>
      <c r="L907" s="379">
        <v>0</v>
      </c>
    </row>
    <row r="908" spans="1:12" ht="30" x14ac:dyDescent="0.25">
      <c r="A908" s="375" t="s">
        <v>1000</v>
      </c>
      <c r="B908" s="376" t="s">
        <v>1000</v>
      </c>
      <c r="C908" s="370" t="s">
        <v>2165</v>
      </c>
      <c r="D908" s="370" t="s">
        <v>2165</v>
      </c>
      <c r="E908" s="371" t="s">
        <v>281</v>
      </c>
      <c r="F908" s="376" t="s">
        <v>20</v>
      </c>
      <c r="G908" s="377"/>
      <c r="H908" s="372" t="s">
        <v>2165</v>
      </c>
      <c r="I908" s="373" t="s">
        <v>2165</v>
      </c>
      <c r="J908" s="374">
        <v>2381.38</v>
      </c>
      <c r="K908" s="378">
        <v>7001490125</v>
      </c>
      <c r="L908" s="379">
        <v>0</v>
      </c>
    </row>
    <row r="909" spans="1:12" ht="30" x14ac:dyDescent="0.25">
      <c r="A909" s="375" t="s">
        <v>1001</v>
      </c>
      <c r="B909" s="376" t="s">
        <v>1001</v>
      </c>
      <c r="C909" s="370" t="s">
        <v>2165</v>
      </c>
      <c r="D909" s="370" t="s">
        <v>2165</v>
      </c>
      <c r="E909" s="371" t="s">
        <v>282</v>
      </c>
      <c r="F909" s="376" t="s">
        <v>283</v>
      </c>
      <c r="G909" s="377"/>
      <c r="H909" s="372" t="s">
        <v>2165</v>
      </c>
      <c r="I909" s="373" t="s">
        <v>2165</v>
      </c>
      <c r="J909" s="374">
        <v>2125</v>
      </c>
      <c r="K909" s="378">
        <v>7001490126</v>
      </c>
      <c r="L909" s="379">
        <v>0</v>
      </c>
    </row>
    <row r="910" spans="1:12" ht="30" x14ac:dyDescent="0.25">
      <c r="A910" s="375" t="s">
        <v>1002</v>
      </c>
      <c r="B910" s="376" t="s">
        <v>1002</v>
      </c>
      <c r="C910" s="370" t="s">
        <v>2165</v>
      </c>
      <c r="D910" s="370" t="s">
        <v>2165</v>
      </c>
      <c r="E910" s="371" t="s">
        <v>284</v>
      </c>
      <c r="F910" s="376" t="s">
        <v>283</v>
      </c>
      <c r="G910" s="377"/>
      <c r="H910" s="372" t="s">
        <v>2165</v>
      </c>
      <c r="I910" s="373" t="s">
        <v>2165</v>
      </c>
      <c r="J910" s="374">
        <v>800</v>
      </c>
      <c r="K910" s="378">
        <v>7001490127</v>
      </c>
      <c r="L910" s="379">
        <v>0</v>
      </c>
    </row>
    <row r="911" spans="1:12" ht="30" x14ac:dyDescent="0.25">
      <c r="A911" s="375" t="s">
        <v>1003</v>
      </c>
      <c r="B911" s="376" t="s">
        <v>1003</v>
      </c>
      <c r="C911" s="370" t="s">
        <v>2165</v>
      </c>
      <c r="D911" s="370" t="s">
        <v>2165</v>
      </c>
      <c r="E911" s="371" t="s">
        <v>285</v>
      </c>
      <c r="F911" s="376" t="s">
        <v>34</v>
      </c>
      <c r="G911" s="377"/>
      <c r="H911" s="372" t="s">
        <v>2165</v>
      </c>
      <c r="I911" s="373" t="s">
        <v>2165</v>
      </c>
      <c r="J911" s="374">
        <v>2945.24</v>
      </c>
      <c r="K911" s="378">
        <v>7001490128</v>
      </c>
      <c r="L911" s="379">
        <v>0</v>
      </c>
    </row>
    <row r="912" spans="1:12" ht="30" x14ac:dyDescent="0.25">
      <c r="A912" s="375" t="s">
        <v>1004</v>
      </c>
      <c r="B912" s="376" t="s">
        <v>1004</v>
      </c>
      <c r="C912" s="370" t="s">
        <v>2165</v>
      </c>
      <c r="D912" s="370" t="s">
        <v>2165</v>
      </c>
      <c r="E912" s="371" t="s">
        <v>286</v>
      </c>
      <c r="F912" s="376" t="s">
        <v>287</v>
      </c>
      <c r="G912" s="377"/>
      <c r="H912" s="372" t="s">
        <v>2165</v>
      </c>
      <c r="I912" s="373" t="s">
        <v>2165</v>
      </c>
      <c r="J912" s="374">
        <v>95</v>
      </c>
      <c r="K912" s="378">
        <v>7001490129</v>
      </c>
      <c r="L912" s="379">
        <v>0</v>
      </c>
    </row>
    <row r="913" spans="1:12" ht="30" x14ac:dyDescent="0.25">
      <c r="A913" s="375" t="s">
        <v>1005</v>
      </c>
      <c r="B913" s="376" t="s">
        <v>1005</v>
      </c>
      <c r="C913" s="370" t="s">
        <v>2165</v>
      </c>
      <c r="D913" s="370" t="s">
        <v>2165</v>
      </c>
      <c r="E913" s="371" t="s">
        <v>288</v>
      </c>
      <c r="F913" s="376" t="s">
        <v>21</v>
      </c>
      <c r="G913" s="377"/>
      <c r="H913" s="372" t="s">
        <v>2165</v>
      </c>
      <c r="I913" s="373" t="s">
        <v>2165</v>
      </c>
      <c r="J913" s="374">
        <v>1378.02</v>
      </c>
      <c r="K913" s="378">
        <v>7001490130</v>
      </c>
      <c r="L913" s="379">
        <v>0</v>
      </c>
    </row>
    <row r="914" spans="1:12" ht="30" x14ac:dyDescent="0.25">
      <c r="A914" s="375" t="s">
        <v>1006</v>
      </c>
      <c r="B914" s="376" t="s">
        <v>1006</v>
      </c>
      <c r="C914" s="370" t="s">
        <v>2165</v>
      </c>
      <c r="D914" s="370" t="s">
        <v>2165</v>
      </c>
      <c r="E914" s="371" t="s">
        <v>289</v>
      </c>
      <c r="F914" s="376" t="s">
        <v>21</v>
      </c>
      <c r="G914" s="377"/>
      <c r="H914" s="372" t="s">
        <v>2165</v>
      </c>
      <c r="I914" s="373" t="s">
        <v>2165</v>
      </c>
      <c r="J914" s="374">
        <v>945.3</v>
      </c>
      <c r="K914" s="378">
        <v>7001490132</v>
      </c>
      <c r="L914" s="379">
        <v>0</v>
      </c>
    </row>
    <row r="915" spans="1:12" ht="30" x14ac:dyDescent="0.25">
      <c r="A915" s="375" t="s">
        <v>1007</v>
      </c>
      <c r="B915" s="376" t="s">
        <v>1007</v>
      </c>
      <c r="C915" s="370" t="s">
        <v>2165</v>
      </c>
      <c r="D915" s="370" t="s">
        <v>2165</v>
      </c>
      <c r="E915" s="371" t="s">
        <v>290</v>
      </c>
      <c r="F915" s="376" t="s">
        <v>20</v>
      </c>
      <c r="G915" s="377"/>
      <c r="H915" s="372" t="s">
        <v>2165</v>
      </c>
      <c r="I915" s="373" t="s">
        <v>2165</v>
      </c>
      <c r="J915" s="374">
        <v>201.9</v>
      </c>
      <c r="K915" s="378">
        <v>7001490133</v>
      </c>
      <c r="L915" s="379">
        <v>0</v>
      </c>
    </row>
    <row r="916" spans="1:12" ht="30" x14ac:dyDescent="0.25">
      <c r="A916" s="375" t="s">
        <v>1008</v>
      </c>
      <c r="B916" s="376" t="s">
        <v>1008</v>
      </c>
      <c r="C916" s="370" t="s">
        <v>2165</v>
      </c>
      <c r="D916" s="370" t="s">
        <v>2165</v>
      </c>
      <c r="E916" s="371" t="s">
        <v>291</v>
      </c>
      <c r="F916" s="376" t="s">
        <v>23</v>
      </c>
      <c r="G916" s="377"/>
      <c r="H916" s="372" t="s">
        <v>2165</v>
      </c>
      <c r="I916" s="373" t="s">
        <v>2165</v>
      </c>
      <c r="J916" s="374">
        <v>3330.6</v>
      </c>
      <c r="K916" s="378">
        <v>7001490134</v>
      </c>
      <c r="L916" s="379">
        <v>0</v>
      </c>
    </row>
    <row r="917" spans="1:12" ht="45" x14ac:dyDescent="0.25">
      <c r="A917" s="375" t="s">
        <v>1009</v>
      </c>
      <c r="B917" s="376" t="s">
        <v>1009</v>
      </c>
      <c r="C917" s="370" t="s">
        <v>2165</v>
      </c>
      <c r="D917" s="370" t="s">
        <v>2165</v>
      </c>
      <c r="E917" s="371" t="s">
        <v>292</v>
      </c>
      <c r="F917" s="376" t="s">
        <v>23</v>
      </c>
      <c r="G917" s="377"/>
      <c r="H917" s="372" t="s">
        <v>2165</v>
      </c>
      <c r="I917" s="373" t="s">
        <v>2165</v>
      </c>
      <c r="J917" s="374">
        <v>4200</v>
      </c>
      <c r="K917" s="378">
        <v>7001490135</v>
      </c>
      <c r="L917" s="379">
        <v>0</v>
      </c>
    </row>
    <row r="918" spans="1:12" ht="30" x14ac:dyDescent="0.25">
      <c r="A918" s="380" t="s">
        <v>1010</v>
      </c>
      <c r="B918" s="380" t="s">
        <v>1010</v>
      </c>
      <c r="C918" s="370" t="s">
        <v>2165</v>
      </c>
      <c r="D918" s="370" t="s">
        <v>2165</v>
      </c>
      <c r="E918" s="371" t="s">
        <v>395</v>
      </c>
      <c r="F918" s="376" t="s">
        <v>283</v>
      </c>
      <c r="G918" s="377"/>
      <c r="H918" s="372" t="s">
        <v>2165</v>
      </c>
      <c r="I918" s="373" t="s">
        <v>2165</v>
      </c>
      <c r="J918" s="374">
        <v>386.27</v>
      </c>
      <c r="K918" s="378">
        <v>7001490171</v>
      </c>
      <c r="L918" s="379">
        <v>0</v>
      </c>
    </row>
    <row r="919" spans="1:12" ht="30" x14ac:dyDescent="0.25">
      <c r="A919" s="380" t="s">
        <v>1011</v>
      </c>
      <c r="B919" s="380" t="s">
        <v>1011</v>
      </c>
      <c r="C919" s="370" t="s">
        <v>2165</v>
      </c>
      <c r="D919" s="370" t="s">
        <v>2165</v>
      </c>
      <c r="E919" s="371" t="s">
        <v>397</v>
      </c>
      <c r="F919" s="376" t="s">
        <v>20</v>
      </c>
      <c r="G919" s="377"/>
      <c r="H919" s="372" t="s">
        <v>2165</v>
      </c>
      <c r="I919" s="373" t="s">
        <v>2165</v>
      </c>
      <c r="J919" s="374">
        <v>1573.18</v>
      </c>
      <c r="K919" s="378">
        <v>7001490172</v>
      </c>
      <c r="L919" s="379">
        <v>0</v>
      </c>
    </row>
    <row r="920" spans="1:12" ht="30" x14ac:dyDescent="0.25">
      <c r="A920" s="380" t="s">
        <v>1012</v>
      </c>
      <c r="B920" s="380" t="s">
        <v>1012</v>
      </c>
      <c r="C920" s="370" t="s">
        <v>2165</v>
      </c>
      <c r="D920" s="370" t="s">
        <v>2165</v>
      </c>
      <c r="E920" s="371" t="s">
        <v>399</v>
      </c>
      <c r="F920" s="376" t="s">
        <v>20</v>
      </c>
      <c r="G920" s="377"/>
      <c r="H920" s="372" t="s">
        <v>2165</v>
      </c>
      <c r="I920" s="373" t="s">
        <v>2165</v>
      </c>
      <c r="J920" s="374">
        <v>948.75</v>
      </c>
      <c r="K920" s="378">
        <v>7001490173</v>
      </c>
      <c r="L920" s="379">
        <v>0</v>
      </c>
    </row>
    <row r="921" spans="1:12" s="10" customFormat="1" ht="30" x14ac:dyDescent="0.25">
      <c r="A921" s="34" t="s">
        <v>1125</v>
      </c>
      <c r="B921" s="174" t="s">
        <v>2165</v>
      </c>
      <c r="C921" s="383" t="s">
        <v>2165</v>
      </c>
      <c r="D921" s="383" t="s">
        <v>2165</v>
      </c>
      <c r="E921" s="384" t="s">
        <v>608</v>
      </c>
      <c r="F921" s="174"/>
      <c r="G921" s="175"/>
      <c r="H921" s="385" t="s">
        <v>2165</v>
      </c>
      <c r="I921" s="386" t="s">
        <v>2165</v>
      </c>
      <c r="J921" s="387" t="s">
        <v>2165</v>
      </c>
      <c r="K921" s="282" t="s">
        <v>2165</v>
      </c>
      <c r="L921" s="285" t="s">
        <v>2165</v>
      </c>
    </row>
    <row r="922" spans="1:12" ht="45" x14ac:dyDescent="0.25">
      <c r="A922" s="375" t="s">
        <v>1013</v>
      </c>
      <c r="B922" s="376" t="s">
        <v>1013</v>
      </c>
      <c r="C922" s="370" t="s">
        <v>2165</v>
      </c>
      <c r="D922" s="370" t="s">
        <v>2165</v>
      </c>
      <c r="E922" s="371" t="s">
        <v>293</v>
      </c>
      <c r="F922" s="376" t="s">
        <v>23</v>
      </c>
      <c r="G922" s="377"/>
      <c r="H922" s="372" t="s">
        <v>2165</v>
      </c>
      <c r="I922" s="373" t="s">
        <v>2165</v>
      </c>
      <c r="J922" s="374">
        <v>40012.31</v>
      </c>
      <c r="K922" s="378">
        <v>7001490137</v>
      </c>
      <c r="L922" s="379">
        <v>0</v>
      </c>
    </row>
    <row r="923" spans="1:12" ht="30" x14ac:dyDescent="0.25">
      <c r="A923" s="375" t="s">
        <v>1014</v>
      </c>
      <c r="B923" s="376" t="s">
        <v>1014</v>
      </c>
      <c r="C923" s="370" t="s">
        <v>2165</v>
      </c>
      <c r="D923" s="370" t="s">
        <v>2165</v>
      </c>
      <c r="E923" s="371" t="s">
        <v>294</v>
      </c>
      <c r="F923" s="376" t="s">
        <v>20</v>
      </c>
      <c r="G923" s="377"/>
      <c r="H923" s="372" t="s">
        <v>2165</v>
      </c>
      <c r="I923" s="373" t="s">
        <v>2165</v>
      </c>
      <c r="J923" s="374">
        <v>1645.89</v>
      </c>
      <c r="K923" s="378">
        <v>7001020494</v>
      </c>
      <c r="L923" s="379">
        <v>0</v>
      </c>
    </row>
    <row r="924" spans="1:12" ht="30" x14ac:dyDescent="0.25">
      <c r="A924" s="375" t="s">
        <v>1015</v>
      </c>
      <c r="B924" s="376" t="s">
        <v>1015</v>
      </c>
      <c r="C924" s="370" t="s">
        <v>2165</v>
      </c>
      <c r="D924" s="370" t="s">
        <v>2165</v>
      </c>
      <c r="E924" s="371" t="s">
        <v>295</v>
      </c>
      <c r="F924" s="376" t="s">
        <v>20</v>
      </c>
      <c r="G924" s="377"/>
      <c r="H924" s="372" t="s">
        <v>2165</v>
      </c>
      <c r="I924" s="373" t="s">
        <v>2165</v>
      </c>
      <c r="J924" s="374">
        <v>1000.31</v>
      </c>
      <c r="K924" s="378">
        <v>7001020495</v>
      </c>
      <c r="L924" s="379">
        <v>0</v>
      </c>
    </row>
    <row r="925" spans="1:12" ht="30" x14ac:dyDescent="0.25">
      <c r="A925" s="375" t="s">
        <v>1016</v>
      </c>
      <c r="B925" s="376" t="s">
        <v>1016</v>
      </c>
      <c r="C925" s="370" t="s">
        <v>2165</v>
      </c>
      <c r="D925" s="370" t="s">
        <v>2165</v>
      </c>
      <c r="E925" s="371" t="s">
        <v>296</v>
      </c>
      <c r="F925" s="376" t="s">
        <v>20</v>
      </c>
      <c r="G925" s="377"/>
      <c r="H925" s="372" t="s">
        <v>2165</v>
      </c>
      <c r="I925" s="373" t="s">
        <v>2165</v>
      </c>
      <c r="J925" s="374">
        <v>1693.98</v>
      </c>
      <c r="K925" s="378">
        <v>7001210803</v>
      </c>
      <c r="L925" s="379">
        <v>0</v>
      </c>
    </row>
    <row r="926" spans="1:12" ht="30" x14ac:dyDescent="0.25">
      <c r="A926" s="375" t="s">
        <v>1017</v>
      </c>
      <c r="B926" s="376" t="s">
        <v>1017</v>
      </c>
      <c r="C926" s="370" t="s">
        <v>2165</v>
      </c>
      <c r="D926" s="370" t="s">
        <v>2165</v>
      </c>
      <c r="E926" s="371" t="s">
        <v>297</v>
      </c>
      <c r="F926" s="376" t="s">
        <v>20</v>
      </c>
      <c r="G926" s="377"/>
      <c r="H926" s="372" t="s">
        <v>2165</v>
      </c>
      <c r="I926" s="373" t="s">
        <v>2165</v>
      </c>
      <c r="J926" s="374">
        <v>471.3</v>
      </c>
      <c r="K926" s="378">
        <v>7001220475</v>
      </c>
      <c r="L926" s="379">
        <v>0</v>
      </c>
    </row>
    <row r="927" spans="1:12" ht="45" x14ac:dyDescent="0.25">
      <c r="A927" s="375" t="s">
        <v>1018</v>
      </c>
      <c r="B927" s="376" t="s">
        <v>1018</v>
      </c>
      <c r="C927" s="370" t="s">
        <v>2165</v>
      </c>
      <c r="D927" s="370" t="s">
        <v>2165</v>
      </c>
      <c r="E927" s="371" t="s">
        <v>298</v>
      </c>
      <c r="F927" s="376" t="s">
        <v>20</v>
      </c>
      <c r="G927" s="377"/>
      <c r="H927" s="372" t="s">
        <v>2165</v>
      </c>
      <c r="I927" s="373" t="s">
        <v>2165</v>
      </c>
      <c r="J927" s="374">
        <v>579.41</v>
      </c>
      <c r="K927" s="378">
        <v>7001490138</v>
      </c>
      <c r="L927" s="379">
        <v>0</v>
      </c>
    </row>
    <row r="928" spans="1:12" ht="45" x14ac:dyDescent="0.25">
      <c r="A928" s="375" t="s">
        <v>1019</v>
      </c>
      <c r="B928" s="376" t="s">
        <v>1019</v>
      </c>
      <c r="C928" s="370" t="s">
        <v>2165</v>
      </c>
      <c r="D928" s="370" t="s">
        <v>2165</v>
      </c>
      <c r="E928" s="371" t="s">
        <v>299</v>
      </c>
      <c r="F928" s="376" t="s">
        <v>283</v>
      </c>
      <c r="G928" s="377"/>
      <c r="H928" s="372" t="s">
        <v>2165</v>
      </c>
      <c r="I928" s="373" t="s">
        <v>2165</v>
      </c>
      <c r="J928" s="374">
        <v>323.18</v>
      </c>
      <c r="K928" s="378">
        <v>7001490139</v>
      </c>
      <c r="L928" s="379">
        <v>0</v>
      </c>
    </row>
    <row r="929" spans="1:12" ht="45" x14ac:dyDescent="0.25">
      <c r="A929" s="375" t="s">
        <v>1020</v>
      </c>
      <c r="B929" s="376" t="s">
        <v>1020</v>
      </c>
      <c r="C929" s="370" t="s">
        <v>2165</v>
      </c>
      <c r="D929" s="370" t="s">
        <v>2165</v>
      </c>
      <c r="E929" s="371" t="s">
        <v>300</v>
      </c>
      <c r="F929" s="376" t="s">
        <v>283</v>
      </c>
      <c r="G929" s="377"/>
      <c r="H929" s="372" t="s">
        <v>2165</v>
      </c>
      <c r="I929" s="373" t="s">
        <v>2165</v>
      </c>
      <c r="J929" s="374">
        <v>269.31</v>
      </c>
      <c r="K929" s="378">
        <v>7001490140</v>
      </c>
      <c r="L929" s="379">
        <v>0</v>
      </c>
    </row>
    <row r="930" spans="1:12" ht="30" x14ac:dyDescent="0.25">
      <c r="A930" s="375" t="s">
        <v>1021</v>
      </c>
      <c r="B930" s="376" t="s">
        <v>1021</v>
      </c>
      <c r="C930" s="370" t="s">
        <v>2165</v>
      </c>
      <c r="D930" s="370" t="s">
        <v>2165</v>
      </c>
      <c r="E930" s="371" t="s">
        <v>301</v>
      </c>
      <c r="F930" s="376" t="s">
        <v>283</v>
      </c>
      <c r="G930" s="377"/>
      <c r="H930" s="372" t="s">
        <v>2165</v>
      </c>
      <c r="I930" s="373" t="s">
        <v>2165</v>
      </c>
      <c r="J930" s="374">
        <v>307.79000000000002</v>
      </c>
      <c r="K930" s="378">
        <v>7001490141</v>
      </c>
      <c r="L930" s="379">
        <v>0</v>
      </c>
    </row>
    <row r="931" spans="1:12" ht="30" x14ac:dyDescent="0.25">
      <c r="A931" s="375" t="s">
        <v>1022</v>
      </c>
      <c r="B931" s="376" t="s">
        <v>1022</v>
      </c>
      <c r="C931" s="370" t="s">
        <v>2165</v>
      </c>
      <c r="D931" s="370" t="s">
        <v>2165</v>
      </c>
      <c r="E931" s="371" t="s">
        <v>302</v>
      </c>
      <c r="F931" s="376" t="s">
        <v>34</v>
      </c>
      <c r="G931" s="377"/>
      <c r="H931" s="372" t="s">
        <v>2165</v>
      </c>
      <c r="I931" s="373" t="s">
        <v>2165</v>
      </c>
      <c r="J931" s="374">
        <v>1461.99</v>
      </c>
      <c r="K931" s="378">
        <v>7001290069</v>
      </c>
      <c r="L931" s="379">
        <v>0</v>
      </c>
    </row>
    <row r="932" spans="1:12" ht="45" x14ac:dyDescent="0.25">
      <c r="A932" s="375" t="s">
        <v>1023</v>
      </c>
      <c r="B932" s="376" t="s">
        <v>1023</v>
      </c>
      <c r="C932" s="370" t="s">
        <v>2165</v>
      </c>
      <c r="D932" s="370" t="s">
        <v>2165</v>
      </c>
      <c r="E932" s="371" t="s">
        <v>303</v>
      </c>
      <c r="F932" s="376" t="s">
        <v>287</v>
      </c>
      <c r="G932" s="377"/>
      <c r="H932" s="372" t="s">
        <v>2165</v>
      </c>
      <c r="I932" s="373" t="s">
        <v>2165</v>
      </c>
      <c r="J932" s="374">
        <v>75.41</v>
      </c>
      <c r="K932" s="378">
        <v>7001120312</v>
      </c>
      <c r="L932" s="379">
        <v>0</v>
      </c>
    </row>
    <row r="933" spans="1:12" ht="30" x14ac:dyDescent="0.25">
      <c r="A933" s="375" t="s">
        <v>1024</v>
      </c>
      <c r="B933" s="376" t="s">
        <v>1024</v>
      </c>
      <c r="C933" s="370" t="s">
        <v>2165</v>
      </c>
      <c r="D933" s="370" t="s">
        <v>2165</v>
      </c>
      <c r="E933" s="371" t="s">
        <v>304</v>
      </c>
      <c r="F933" s="376" t="s">
        <v>21</v>
      </c>
      <c r="G933" s="377"/>
      <c r="H933" s="372" t="s">
        <v>2165</v>
      </c>
      <c r="I933" s="373" t="s">
        <v>2165</v>
      </c>
      <c r="J933" s="374">
        <v>424.9</v>
      </c>
      <c r="K933" s="378">
        <v>7002020615</v>
      </c>
      <c r="L933" s="379">
        <v>0</v>
      </c>
    </row>
    <row r="934" spans="1:12" ht="30" x14ac:dyDescent="0.25">
      <c r="A934" s="375" t="s">
        <v>1025</v>
      </c>
      <c r="B934" s="376" t="s">
        <v>1025</v>
      </c>
      <c r="C934" s="370" t="s">
        <v>2165</v>
      </c>
      <c r="D934" s="370" t="s">
        <v>2165</v>
      </c>
      <c r="E934" s="371" t="s">
        <v>306</v>
      </c>
      <c r="F934" s="376" t="s">
        <v>21</v>
      </c>
      <c r="G934" s="377"/>
      <c r="H934" s="372" t="s">
        <v>2165</v>
      </c>
      <c r="I934" s="373" t="s">
        <v>2165</v>
      </c>
      <c r="J934" s="374">
        <v>461.68</v>
      </c>
      <c r="K934" s="378">
        <v>7002020616</v>
      </c>
      <c r="L934" s="379">
        <v>0</v>
      </c>
    </row>
    <row r="935" spans="1:12" ht="30" x14ac:dyDescent="0.25">
      <c r="A935" s="375" t="s">
        <v>1026</v>
      </c>
      <c r="B935" s="376" t="s">
        <v>1026</v>
      </c>
      <c r="C935" s="370" t="s">
        <v>2165</v>
      </c>
      <c r="D935" s="370" t="s">
        <v>2165</v>
      </c>
      <c r="E935" s="371" t="s">
        <v>307</v>
      </c>
      <c r="F935" s="376" t="s">
        <v>20</v>
      </c>
      <c r="G935" s="377"/>
      <c r="H935" s="372" t="s">
        <v>2165</v>
      </c>
      <c r="I935" s="373" t="s">
        <v>2165</v>
      </c>
      <c r="J935" s="374">
        <v>140.43</v>
      </c>
      <c r="K935" s="378">
        <v>7001490142</v>
      </c>
      <c r="L935" s="379">
        <v>0</v>
      </c>
    </row>
    <row r="936" spans="1:12" ht="30" x14ac:dyDescent="0.25">
      <c r="A936" s="375" t="s">
        <v>1027</v>
      </c>
      <c r="B936" s="376" t="s">
        <v>1027</v>
      </c>
      <c r="C936" s="370" t="s">
        <v>2165</v>
      </c>
      <c r="D936" s="370" t="s">
        <v>2165</v>
      </c>
      <c r="E936" s="371" t="s">
        <v>308</v>
      </c>
      <c r="F936" s="376" t="s">
        <v>23</v>
      </c>
      <c r="G936" s="377"/>
      <c r="H936" s="372" t="s">
        <v>2165</v>
      </c>
      <c r="I936" s="373" t="s">
        <v>2165</v>
      </c>
      <c r="J936" s="374">
        <v>1538.94</v>
      </c>
      <c r="K936" s="378">
        <v>7001490143</v>
      </c>
      <c r="L936" s="379">
        <v>0</v>
      </c>
    </row>
    <row r="937" spans="1:12" ht="45" x14ac:dyDescent="0.25">
      <c r="A937" s="375" t="s">
        <v>1028</v>
      </c>
      <c r="B937" s="376" t="s">
        <v>1028</v>
      </c>
      <c r="C937" s="370" t="s">
        <v>2165</v>
      </c>
      <c r="D937" s="370" t="s">
        <v>2165</v>
      </c>
      <c r="E937" s="371" t="s">
        <v>309</v>
      </c>
      <c r="F937" s="376" t="s">
        <v>23</v>
      </c>
      <c r="G937" s="377"/>
      <c r="H937" s="372" t="s">
        <v>2165</v>
      </c>
      <c r="I937" s="373" t="s">
        <v>2165</v>
      </c>
      <c r="J937" s="374">
        <v>2231.46</v>
      </c>
      <c r="K937" s="378">
        <v>7001120313</v>
      </c>
      <c r="L937" s="379">
        <v>0</v>
      </c>
    </row>
    <row r="938" spans="1:12" ht="45" x14ac:dyDescent="0.25">
      <c r="A938" s="375" t="s">
        <v>1029</v>
      </c>
      <c r="B938" s="376" t="s">
        <v>1029</v>
      </c>
      <c r="C938" s="370" t="s">
        <v>2165</v>
      </c>
      <c r="D938" s="370" t="s">
        <v>2165</v>
      </c>
      <c r="E938" s="371" t="s">
        <v>1972</v>
      </c>
      <c r="F938" s="376" t="s">
        <v>23</v>
      </c>
      <c r="G938" s="377"/>
      <c r="H938" s="372" t="s">
        <v>2165</v>
      </c>
      <c r="I938" s="373" t="s">
        <v>2165</v>
      </c>
      <c r="J938" s="374">
        <v>4520</v>
      </c>
      <c r="K938" s="378">
        <v>7001010383</v>
      </c>
      <c r="L938" s="379">
        <v>0</v>
      </c>
    </row>
  </sheetData>
  <autoFilter ref="A144:XCQ938"/>
  <mergeCells count="18">
    <mergeCell ref="B135:D135"/>
    <mergeCell ref="B139:G139"/>
    <mergeCell ref="B141:G141"/>
    <mergeCell ref="B142:G142"/>
    <mergeCell ref="A136:K136"/>
    <mergeCell ref="H139:H142"/>
    <mergeCell ref="I139:J140"/>
    <mergeCell ref="K139:K140"/>
    <mergeCell ref="I141:J142"/>
    <mergeCell ref="K141:K142"/>
    <mergeCell ref="A137:G138"/>
    <mergeCell ref="H137:H138"/>
    <mergeCell ref="I137:K138"/>
    <mergeCell ref="A133:K133"/>
    <mergeCell ref="A124:K124"/>
    <mergeCell ref="A131:K131"/>
    <mergeCell ref="A132:K132"/>
    <mergeCell ref="A125:K125"/>
  </mergeCells>
  <conditionalFormatting sqref="C137:C138">
    <cfRule type="duplicateValues" dxfId="271" priority="1666"/>
  </conditionalFormatting>
  <conditionalFormatting sqref="C139:C141">
    <cfRule type="duplicateValues" dxfId="270" priority="1657"/>
  </conditionalFormatting>
  <conditionalFormatting sqref="D1087">
    <cfRule type="duplicateValues" dxfId="269" priority="1648"/>
  </conditionalFormatting>
  <conditionalFormatting sqref="D1088:D1090">
    <cfRule type="duplicateValues" dxfId="268" priority="1647"/>
  </conditionalFormatting>
  <conditionalFormatting sqref="D1091:D1092">
    <cfRule type="duplicateValues" dxfId="267" priority="1646"/>
  </conditionalFormatting>
  <conditionalFormatting sqref="D1093">
    <cfRule type="duplicateValues" dxfId="266" priority="1645"/>
  </conditionalFormatting>
  <conditionalFormatting sqref="D1094">
    <cfRule type="duplicateValues" dxfId="265" priority="1644"/>
  </conditionalFormatting>
  <conditionalFormatting sqref="D1095">
    <cfRule type="duplicateValues" dxfId="264" priority="1643"/>
  </conditionalFormatting>
  <conditionalFormatting sqref="D1096">
    <cfRule type="duplicateValues" dxfId="263" priority="1642"/>
  </conditionalFormatting>
  <conditionalFormatting sqref="D1097">
    <cfRule type="duplicateValues" dxfId="262" priority="1641"/>
  </conditionalFormatting>
  <conditionalFormatting sqref="D1098">
    <cfRule type="duplicateValues" dxfId="261" priority="1640"/>
  </conditionalFormatting>
  <conditionalFormatting sqref="D1099">
    <cfRule type="duplicateValues" dxfId="260" priority="1639"/>
  </conditionalFormatting>
  <conditionalFormatting sqref="D1100">
    <cfRule type="duplicateValues" dxfId="259" priority="1638"/>
  </conditionalFormatting>
  <conditionalFormatting sqref="D1101">
    <cfRule type="duplicateValues" dxfId="258" priority="1637"/>
  </conditionalFormatting>
  <conditionalFormatting sqref="D960">
    <cfRule type="duplicateValues" dxfId="257" priority="1635"/>
  </conditionalFormatting>
  <conditionalFormatting sqref="D961:D963">
    <cfRule type="duplicateValues" dxfId="256" priority="1634"/>
  </conditionalFormatting>
  <conditionalFormatting sqref="D964:D966">
    <cfRule type="duplicateValues" dxfId="255" priority="1633"/>
  </conditionalFormatting>
  <conditionalFormatting sqref="D967">
    <cfRule type="duplicateValues" dxfId="254" priority="1632"/>
  </conditionalFormatting>
  <conditionalFormatting sqref="D968:D969">
    <cfRule type="duplicateValues" dxfId="253" priority="1631"/>
  </conditionalFormatting>
  <conditionalFormatting sqref="D970:D984">
    <cfRule type="duplicateValues" dxfId="252" priority="1630"/>
  </conditionalFormatting>
  <conditionalFormatting sqref="D985">
    <cfRule type="duplicateValues" dxfId="251" priority="1629"/>
  </conditionalFormatting>
  <conditionalFormatting sqref="D986:D988">
    <cfRule type="duplicateValues" dxfId="250" priority="1628"/>
  </conditionalFormatting>
  <conditionalFormatting sqref="D989:D990">
    <cfRule type="duplicateValues" dxfId="249" priority="1627"/>
  </conditionalFormatting>
  <dataValidations disablePrompts="1" count="1">
    <dataValidation type="list" allowBlank="1" showInputMessage="1" showErrorMessage="1" sqref="I137:K138">
      <formula1>"NÃO DESONERADO, DESONERADO"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33" orientation="portrait" r:id="rId1"/>
  <headerFooter differentFirst="1">
    <oddFooter>&amp;C&amp;P</oddFooter>
  </headerFooter>
  <rowBreaks count="2" manualBreakCount="2">
    <brk id="130" max="16383" man="1"/>
    <brk id="20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U34"/>
  <sheetViews>
    <sheetView workbookViewId="0">
      <selection activeCell="S27" sqref="S27"/>
    </sheetView>
  </sheetViews>
  <sheetFormatPr defaultColWidth="9.140625" defaultRowHeight="15" x14ac:dyDescent="0.25"/>
  <cols>
    <col min="1" max="1" width="9.28515625" style="10" customWidth="1"/>
    <col min="2" max="2" width="23" style="10" customWidth="1"/>
    <col min="3" max="3" width="5" style="10" customWidth="1"/>
    <col min="4" max="4" width="19.7109375" style="10" bestFit="1" customWidth="1"/>
    <col min="5" max="5" width="5" style="10" customWidth="1"/>
    <col min="6" max="6" width="23.5703125" style="10" customWidth="1"/>
    <col min="7" max="7" width="22.42578125" style="10" customWidth="1"/>
    <col min="8" max="8" width="5" style="10" customWidth="1"/>
    <col min="9" max="9" width="26.42578125" style="10" customWidth="1"/>
    <col min="10" max="10" width="22.42578125" style="10" customWidth="1"/>
    <col min="11" max="11" width="9.140625" style="10"/>
    <col min="12" max="12" width="56.7109375" style="12" customWidth="1"/>
    <col min="13" max="13" width="20.5703125" style="10" bestFit="1" customWidth="1"/>
    <col min="14" max="14" width="9.140625" style="10"/>
    <col min="16" max="17" width="14" style="10" customWidth="1"/>
    <col min="18" max="18" width="21.7109375" style="10" customWidth="1"/>
    <col min="19" max="19" width="27.42578125" style="10" bestFit="1" customWidth="1"/>
    <col min="20" max="20" width="29.28515625" style="12" customWidth="1"/>
    <col min="21" max="21" width="27.85546875" style="12" customWidth="1"/>
    <col min="22" max="250" width="9.140625" style="10"/>
    <col min="251" max="251" width="9.28515625" style="10" customWidth="1"/>
    <col min="252" max="252" width="23" style="10" customWidth="1"/>
    <col min="253" max="253" width="12.42578125" style="10" customWidth="1"/>
    <col min="254" max="254" width="9.5703125" style="10" customWidth="1"/>
    <col min="255" max="255" width="23.5703125" style="10" customWidth="1"/>
    <col min="256" max="256" width="22.42578125" style="10" customWidth="1"/>
    <col min="257" max="258" width="9.140625" style="10"/>
    <col min="259" max="259" width="26.42578125" style="10" customWidth="1"/>
    <col min="260" max="260" width="22.42578125" style="10" customWidth="1"/>
    <col min="261" max="506" width="9.140625" style="10"/>
    <col min="507" max="507" width="9.28515625" style="10" customWidth="1"/>
    <col min="508" max="508" width="23" style="10" customWidth="1"/>
    <col min="509" max="509" width="12.42578125" style="10" customWidth="1"/>
    <col min="510" max="510" width="9.5703125" style="10" customWidth="1"/>
    <col min="511" max="511" width="23.5703125" style="10" customWidth="1"/>
    <col min="512" max="512" width="22.42578125" style="10" customWidth="1"/>
    <col min="513" max="514" width="9.140625" style="10"/>
    <col min="515" max="515" width="26.42578125" style="10" customWidth="1"/>
    <col min="516" max="516" width="22.42578125" style="10" customWidth="1"/>
    <col min="517" max="762" width="9.140625" style="10"/>
    <col min="763" max="763" width="9.28515625" style="10" customWidth="1"/>
    <col min="764" max="764" width="23" style="10" customWidth="1"/>
    <col min="765" max="765" width="12.42578125" style="10" customWidth="1"/>
    <col min="766" max="766" width="9.5703125" style="10" customWidth="1"/>
    <col min="767" max="767" width="23.5703125" style="10" customWidth="1"/>
    <col min="768" max="768" width="22.42578125" style="10" customWidth="1"/>
    <col min="769" max="770" width="9.140625" style="10"/>
    <col min="771" max="771" width="26.42578125" style="10" customWidth="1"/>
    <col min="772" max="772" width="22.42578125" style="10" customWidth="1"/>
    <col min="773" max="1018" width="9.140625" style="10"/>
    <col min="1019" max="1019" width="9.28515625" style="10" customWidth="1"/>
    <col min="1020" max="1020" width="23" style="10" customWidth="1"/>
    <col min="1021" max="1021" width="12.42578125" style="10" customWidth="1"/>
    <col min="1022" max="1022" width="9.5703125" style="10" customWidth="1"/>
    <col min="1023" max="1023" width="23.5703125" style="10" customWidth="1"/>
    <col min="1024" max="1024" width="22.42578125" style="10" customWidth="1"/>
    <col min="1025" max="1026" width="9.140625" style="10"/>
    <col min="1027" max="1027" width="26.42578125" style="10" customWidth="1"/>
    <col min="1028" max="1028" width="22.42578125" style="10" customWidth="1"/>
    <col min="1029" max="1274" width="9.140625" style="10"/>
    <col min="1275" max="1275" width="9.28515625" style="10" customWidth="1"/>
    <col min="1276" max="1276" width="23" style="10" customWidth="1"/>
    <col min="1277" max="1277" width="12.42578125" style="10" customWidth="1"/>
    <col min="1278" max="1278" width="9.5703125" style="10" customWidth="1"/>
    <col min="1279" max="1279" width="23.5703125" style="10" customWidth="1"/>
    <col min="1280" max="1280" width="22.42578125" style="10" customWidth="1"/>
    <col min="1281" max="1282" width="9.140625" style="10"/>
    <col min="1283" max="1283" width="26.42578125" style="10" customWidth="1"/>
    <col min="1284" max="1284" width="22.42578125" style="10" customWidth="1"/>
    <col min="1285" max="1530" width="9.140625" style="10"/>
    <col min="1531" max="1531" width="9.28515625" style="10" customWidth="1"/>
    <col min="1532" max="1532" width="23" style="10" customWidth="1"/>
    <col min="1533" max="1533" width="12.42578125" style="10" customWidth="1"/>
    <col min="1534" max="1534" width="9.5703125" style="10" customWidth="1"/>
    <col min="1535" max="1535" width="23.5703125" style="10" customWidth="1"/>
    <col min="1536" max="1536" width="22.42578125" style="10" customWidth="1"/>
    <col min="1537" max="1538" width="9.140625" style="10"/>
    <col min="1539" max="1539" width="26.42578125" style="10" customWidth="1"/>
    <col min="1540" max="1540" width="22.42578125" style="10" customWidth="1"/>
    <col min="1541" max="1786" width="9.140625" style="10"/>
    <col min="1787" max="1787" width="9.28515625" style="10" customWidth="1"/>
    <col min="1788" max="1788" width="23" style="10" customWidth="1"/>
    <col min="1789" max="1789" width="12.42578125" style="10" customWidth="1"/>
    <col min="1790" max="1790" width="9.5703125" style="10" customWidth="1"/>
    <col min="1791" max="1791" width="23.5703125" style="10" customWidth="1"/>
    <col min="1792" max="1792" width="22.42578125" style="10" customWidth="1"/>
    <col min="1793" max="1794" width="9.140625" style="10"/>
    <col min="1795" max="1795" width="26.42578125" style="10" customWidth="1"/>
    <col min="1796" max="1796" width="22.42578125" style="10" customWidth="1"/>
    <col min="1797" max="2042" width="9.140625" style="10"/>
    <col min="2043" max="2043" width="9.28515625" style="10" customWidth="1"/>
    <col min="2044" max="2044" width="23" style="10" customWidth="1"/>
    <col min="2045" max="2045" width="12.42578125" style="10" customWidth="1"/>
    <col min="2046" max="2046" width="9.5703125" style="10" customWidth="1"/>
    <col min="2047" max="2047" width="23.5703125" style="10" customWidth="1"/>
    <col min="2048" max="2048" width="22.42578125" style="10" customWidth="1"/>
    <col min="2049" max="2050" width="9.140625" style="10"/>
    <col min="2051" max="2051" width="26.42578125" style="10" customWidth="1"/>
    <col min="2052" max="2052" width="22.42578125" style="10" customWidth="1"/>
    <col min="2053" max="2298" width="9.140625" style="10"/>
    <col min="2299" max="2299" width="9.28515625" style="10" customWidth="1"/>
    <col min="2300" max="2300" width="23" style="10" customWidth="1"/>
    <col min="2301" max="2301" width="12.42578125" style="10" customWidth="1"/>
    <col min="2302" max="2302" width="9.5703125" style="10" customWidth="1"/>
    <col min="2303" max="2303" width="23.5703125" style="10" customWidth="1"/>
    <col min="2304" max="2304" width="22.42578125" style="10" customWidth="1"/>
    <col min="2305" max="2306" width="9.140625" style="10"/>
    <col min="2307" max="2307" width="26.42578125" style="10" customWidth="1"/>
    <col min="2308" max="2308" width="22.42578125" style="10" customWidth="1"/>
    <col min="2309" max="2554" width="9.140625" style="10"/>
    <col min="2555" max="2555" width="9.28515625" style="10" customWidth="1"/>
    <col min="2556" max="2556" width="23" style="10" customWidth="1"/>
    <col min="2557" max="2557" width="12.42578125" style="10" customWidth="1"/>
    <col min="2558" max="2558" width="9.5703125" style="10" customWidth="1"/>
    <col min="2559" max="2559" width="23.5703125" style="10" customWidth="1"/>
    <col min="2560" max="2560" width="22.42578125" style="10" customWidth="1"/>
    <col min="2561" max="2562" width="9.140625" style="10"/>
    <col min="2563" max="2563" width="26.42578125" style="10" customWidth="1"/>
    <col min="2564" max="2564" width="22.42578125" style="10" customWidth="1"/>
    <col min="2565" max="2810" width="9.140625" style="10"/>
    <col min="2811" max="2811" width="9.28515625" style="10" customWidth="1"/>
    <col min="2812" max="2812" width="23" style="10" customWidth="1"/>
    <col min="2813" max="2813" width="12.42578125" style="10" customWidth="1"/>
    <col min="2814" max="2814" width="9.5703125" style="10" customWidth="1"/>
    <col min="2815" max="2815" width="23.5703125" style="10" customWidth="1"/>
    <col min="2816" max="2816" width="22.42578125" style="10" customWidth="1"/>
    <col min="2817" max="2818" width="9.140625" style="10"/>
    <col min="2819" max="2819" width="26.42578125" style="10" customWidth="1"/>
    <col min="2820" max="2820" width="22.42578125" style="10" customWidth="1"/>
    <col min="2821" max="3066" width="9.140625" style="10"/>
    <col min="3067" max="3067" width="9.28515625" style="10" customWidth="1"/>
    <col min="3068" max="3068" width="23" style="10" customWidth="1"/>
    <col min="3069" max="3069" width="12.42578125" style="10" customWidth="1"/>
    <col min="3070" max="3070" width="9.5703125" style="10" customWidth="1"/>
    <col min="3071" max="3071" width="23.5703125" style="10" customWidth="1"/>
    <col min="3072" max="3072" width="22.42578125" style="10" customWidth="1"/>
    <col min="3073" max="3074" width="9.140625" style="10"/>
    <col min="3075" max="3075" width="26.42578125" style="10" customWidth="1"/>
    <col min="3076" max="3076" width="22.42578125" style="10" customWidth="1"/>
    <col min="3077" max="3322" width="9.140625" style="10"/>
    <col min="3323" max="3323" width="9.28515625" style="10" customWidth="1"/>
    <col min="3324" max="3324" width="23" style="10" customWidth="1"/>
    <col min="3325" max="3325" width="12.42578125" style="10" customWidth="1"/>
    <col min="3326" max="3326" width="9.5703125" style="10" customWidth="1"/>
    <col min="3327" max="3327" width="23.5703125" style="10" customWidth="1"/>
    <col min="3328" max="3328" width="22.42578125" style="10" customWidth="1"/>
    <col min="3329" max="3330" width="9.140625" style="10"/>
    <col min="3331" max="3331" width="26.42578125" style="10" customWidth="1"/>
    <col min="3332" max="3332" width="22.42578125" style="10" customWidth="1"/>
    <col min="3333" max="3578" width="9.140625" style="10"/>
    <col min="3579" max="3579" width="9.28515625" style="10" customWidth="1"/>
    <col min="3580" max="3580" width="23" style="10" customWidth="1"/>
    <col min="3581" max="3581" width="12.42578125" style="10" customWidth="1"/>
    <col min="3582" max="3582" width="9.5703125" style="10" customWidth="1"/>
    <col min="3583" max="3583" width="23.5703125" style="10" customWidth="1"/>
    <col min="3584" max="3584" width="22.42578125" style="10" customWidth="1"/>
    <col min="3585" max="3586" width="9.140625" style="10"/>
    <col min="3587" max="3587" width="26.42578125" style="10" customWidth="1"/>
    <col min="3588" max="3588" width="22.42578125" style="10" customWidth="1"/>
    <col min="3589" max="3834" width="9.140625" style="10"/>
    <col min="3835" max="3835" width="9.28515625" style="10" customWidth="1"/>
    <col min="3836" max="3836" width="23" style="10" customWidth="1"/>
    <col min="3837" max="3837" width="12.42578125" style="10" customWidth="1"/>
    <col min="3838" max="3838" width="9.5703125" style="10" customWidth="1"/>
    <col min="3839" max="3839" width="23.5703125" style="10" customWidth="1"/>
    <col min="3840" max="3840" width="22.42578125" style="10" customWidth="1"/>
    <col min="3841" max="3842" width="9.140625" style="10"/>
    <col min="3843" max="3843" width="26.42578125" style="10" customWidth="1"/>
    <col min="3844" max="3844" width="22.42578125" style="10" customWidth="1"/>
    <col min="3845" max="4090" width="9.140625" style="10"/>
    <col min="4091" max="4091" width="9.28515625" style="10" customWidth="1"/>
    <col min="4092" max="4092" width="23" style="10" customWidth="1"/>
    <col min="4093" max="4093" width="12.42578125" style="10" customWidth="1"/>
    <col min="4094" max="4094" width="9.5703125" style="10" customWidth="1"/>
    <col min="4095" max="4095" width="23.5703125" style="10" customWidth="1"/>
    <col min="4096" max="4096" width="22.42578125" style="10" customWidth="1"/>
    <col min="4097" max="4098" width="9.140625" style="10"/>
    <col min="4099" max="4099" width="26.42578125" style="10" customWidth="1"/>
    <col min="4100" max="4100" width="22.42578125" style="10" customWidth="1"/>
    <col min="4101" max="4346" width="9.140625" style="10"/>
    <col min="4347" max="4347" width="9.28515625" style="10" customWidth="1"/>
    <col min="4348" max="4348" width="23" style="10" customWidth="1"/>
    <col min="4349" max="4349" width="12.42578125" style="10" customWidth="1"/>
    <col min="4350" max="4350" width="9.5703125" style="10" customWidth="1"/>
    <col min="4351" max="4351" width="23.5703125" style="10" customWidth="1"/>
    <col min="4352" max="4352" width="22.42578125" style="10" customWidth="1"/>
    <col min="4353" max="4354" width="9.140625" style="10"/>
    <col min="4355" max="4355" width="26.42578125" style="10" customWidth="1"/>
    <col min="4356" max="4356" width="22.42578125" style="10" customWidth="1"/>
    <col min="4357" max="4602" width="9.140625" style="10"/>
    <col min="4603" max="4603" width="9.28515625" style="10" customWidth="1"/>
    <col min="4604" max="4604" width="23" style="10" customWidth="1"/>
    <col min="4605" max="4605" width="12.42578125" style="10" customWidth="1"/>
    <col min="4606" max="4606" width="9.5703125" style="10" customWidth="1"/>
    <col min="4607" max="4607" width="23.5703125" style="10" customWidth="1"/>
    <col min="4608" max="4608" width="22.42578125" style="10" customWidth="1"/>
    <col min="4609" max="4610" width="9.140625" style="10"/>
    <col min="4611" max="4611" width="26.42578125" style="10" customWidth="1"/>
    <col min="4612" max="4612" width="22.42578125" style="10" customWidth="1"/>
    <col min="4613" max="4858" width="9.140625" style="10"/>
    <col min="4859" max="4859" width="9.28515625" style="10" customWidth="1"/>
    <col min="4860" max="4860" width="23" style="10" customWidth="1"/>
    <col min="4861" max="4861" width="12.42578125" style="10" customWidth="1"/>
    <col min="4862" max="4862" width="9.5703125" style="10" customWidth="1"/>
    <col min="4863" max="4863" width="23.5703125" style="10" customWidth="1"/>
    <col min="4864" max="4864" width="22.42578125" style="10" customWidth="1"/>
    <col min="4865" max="4866" width="9.140625" style="10"/>
    <col min="4867" max="4867" width="26.42578125" style="10" customWidth="1"/>
    <col min="4868" max="4868" width="22.42578125" style="10" customWidth="1"/>
    <col min="4869" max="5114" width="9.140625" style="10"/>
    <col min="5115" max="5115" width="9.28515625" style="10" customWidth="1"/>
    <col min="5116" max="5116" width="23" style="10" customWidth="1"/>
    <col min="5117" max="5117" width="12.42578125" style="10" customWidth="1"/>
    <col min="5118" max="5118" width="9.5703125" style="10" customWidth="1"/>
    <col min="5119" max="5119" width="23.5703125" style="10" customWidth="1"/>
    <col min="5120" max="5120" width="22.42578125" style="10" customWidth="1"/>
    <col min="5121" max="5122" width="9.140625" style="10"/>
    <col min="5123" max="5123" width="26.42578125" style="10" customWidth="1"/>
    <col min="5124" max="5124" width="22.42578125" style="10" customWidth="1"/>
    <col min="5125" max="5370" width="9.140625" style="10"/>
    <col min="5371" max="5371" width="9.28515625" style="10" customWidth="1"/>
    <col min="5372" max="5372" width="23" style="10" customWidth="1"/>
    <col min="5373" max="5373" width="12.42578125" style="10" customWidth="1"/>
    <col min="5374" max="5374" width="9.5703125" style="10" customWidth="1"/>
    <col min="5375" max="5375" width="23.5703125" style="10" customWidth="1"/>
    <col min="5376" max="5376" width="22.42578125" style="10" customWidth="1"/>
    <col min="5377" max="5378" width="9.140625" style="10"/>
    <col min="5379" max="5379" width="26.42578125" style="10" customWidth="1"/>
    <col min="5380" max="5380" width="22.42578125" style="10" customWidth="1"/>
    <col min="5381" max="5626" width="9.140625" style="10"/>
    <col min="5627" max="5627" width="9.28515625" style="10" customWidth="1"/>
    <col min="5628" max="5628" width="23" style="10" customWidth="1"/>
    <col min="5629" max="5629" width="12.42578125" style="10" customWidth="1"/>
    <col min="5630" max="5630" width="9.5703125" style="10" customWidth="1"/>
    <col min="5631" max="5631" width="23.5703125" style="10" customWidth="1"/>
    <col min="5632" max="5632" width="22.42578125" style="10" customWidth="1"/>
    <col min="5633" max="5634" width="9.140625" style="10"/>
    <col min="5635" max="5635" width="26.42578125" style="10" customWidth="1"/>
    <col min="5636" max="5636" width="22.42578125" style="10" customWidth="1"/>
    <col min="5637" max="5882" width="9.140625" style="10"/>
    <col min="5883" max="5883" width="9.28515625" style="10" customWidth="1"/>
    <col min="5884" max="5884" width="23" style="10" customWidth="1"/>
    <col min="5885" max="5885" width="12.42578125" style="10" customWidth="1"/>
    <col min="5886" max="5886" width="9.5703125" style="10" customWidth="1"/>
    <col min="5887" max="5887" width="23.5703125" style="10" customWidth="1"/>
    <col min="5888" max="5888" width="22.42578125" style="10" customWidth="1"/>
    <col min="5889" max="5890" width="9.140625" style="10"/>
    <col min="5891" max="5891" width="26.42578125" style="10" customWidth="1"/>
    <col min="5892" max="5892" width="22.42578125" style="10" customWidth="1"/>
    <col min="5893" max="6138" width="9.140625" style="10"/>
    <col min="6139" max="6139" width="9.28515625" style="10" customWidth="1"/>
    <col min="6140" max="6140" width="23" style="10" customWidth="1"/>
    <col min="6141" max="6141" width="12.42578125" style="10" customWidth="1"/>
    <col min="6142" max="6142" width="9.5703125" style="10" customWidth="1"/>
    <col min="6143" max="6143" width="23.5703125" style="10" customWidth="1"/>
    <col min="6144" max="6144" width="22.42578125" style="10" customWidth="1"/>
    <col min="6145" max="6146" width="9.140625" style="10"/>
    <col min="6147" max="6147" width="26.42578125" style="10" customWidth="1"/>
    <col min="6148" max="6148" width="22.42578125" style="10" customWidth="1"/>
    <col min="6149" max="6394" width="9.140625" style="10"/>
    <col min="6395" max="6395" width="9.28515625" style="10" customWidth="1"/>
    <col min="6396" max="6396" width="23" style="10" customWidth="1"/>
    <col min="6397" max="6397" width="12.42578125" style="10" customWidth="1"/>
    <col min="6398" max="6398" width="9.5703125" style="10" customWidth="1"/>
    <col min="6399" max="6399" width="23.5703125" style="10" customWidth="1"/>
    <col min="6400" max="6400" width="22.42578125" style="10" customWidth="1"/>
    <col min="6401" max="6402" width="9.140625" style="10"/>
    <col min="6403" max="6403" width="26.42578125" style="10" customWidth="1"/>
    <col min="6404" max="6404" width="22.42578125" style="10" customWidth="1"/>
    <col min="6405" max="6650" width="9.140625" style="10"/>
    <col min="6651" max="6651" width="9.28515625" style="10" customWidth="1"/>
    <col min="6652" max="6652" width="23" style="10" customWidth="1"/>
    <col min="6653" max="6653" width="12.42578125" style="10" customWidth="1"/>
    <col min="6654" max="6654" width="9.5703125" style="10" customWidth="1"/>
    <col min="6655" max="6655" width="23.5703125" style="10" customWidth="1"/>
    <col min="6656" max="6656" width="22.42578125" style="10" customWidth="1"/>
    <col min="6657" max="6658" width="9.140625" style="10"/>
    <col min="6659" max="6659" width="26.42578125" style="10" customWidth="1"/>
    <col min="6660" max="6660" width="22.42578125" style="10" customWidth="1"/>
    <col min="6661" max="6906" width="9.140625" style="10"/>
    <col min="6907" max="6907" width="9.28515625" style="10" customWidth="1"/>
    <col min="6908" max="6908" width="23" style="10" customWidth="1"/>
    <col min="6909" max="6909" width="12.42578125" style="10" customWidth="1"/>
    <col min="6910" max="6910" width="9.5703125" style="10" customWidth="1"/>
    <col min="6911" max="6911" width="23.5703125" style="10" customWidth="1"/>
    <col min="6912" max="6912" width="22.42578125" style="10" customWidth="1"/>
    <col min="6913" max="6914" width="9.140625" style="10"/>
    <col min="6915" max="6915" width="26.42578125" style="10" customWidth="1"/>
    <col min="6916" max="6916" width="22.42578125" style="10" customWidth="1"/>
    <col min="6917" max="7162" width="9.140625" style="10"/>
    <col min="7163" max="7163" width="9.28515625" style="10" customWidth="1"/>
    <col min="7164" max="7164" width="23" style="10" customWidth="1"/>
    <col min="7165" max="7165" width="12.42578125" style="10" customWidth="1"/>
    <col min="7166" max="7166" width="9.5703125" style="10" customWidth="1"/>
    <col min="7167" max="7167" width="23.5703125" style="10" customWidth="1"/>
    <col min="7168" max="7168" width="22.42578125" style="10" customWidth="1"/>
    <col min="7169" max="7170" width="9.140625" style="10"/>
    <col min="7171" max="7171" width="26.42578125" style="10" customWidth="1"/>
    <col min="7172" max="7172" width="22.42578125" style="10" customWidth="1"/>
    <col min="7173" max="7418" width="9.140625" style="10"/>
    <col min="7419" max="7419" width="9.28515625" style="10" customWidth="1"/>
    <col min="7420" max="7420" width="23" style="10" customWidth="1"/>
    <col min="7421" max="7421" width="12.42578125" style="10" customWidth="1"/>
    <col min="7422" max="7422" width="9.5703125" style="10" customWidth="1"/>
    <col min="7423" max="7423" width="23.5703125" style="10" customWidth="1"/>
    <col min="7424" max="7424" width="22.42578125" style="10" customWidth="1"/>
    <col min="7425" max="7426" width="9.140625" style="10"/>
    <col min="7427" max="7427" width="26.42578125" style="10" customWidth="1"/>
    <col min="7428" max="7428" width="22.42578125" style="10" customWidth="1"/>
    <col min="7429" max="7674" width="9.140625" style="10"/>
    <col min="7675" max="7675" width="9.28515625" style="10" customWidth="1"/>
    <col min="7676" max="7676" width="23" style="10" customWidth="1"/>
    <col min="7677" max="7677" width="12.42578125" style="10" customWidth="1"/>
    <col min="7678" max="7678" width="9.5703125" style="10" customWidth="1"/>
    <col min="7679" max="7679" width="23.5703125" style="10" customWidth="1"/>
    <col min="7680" max="7680" width="22.42578125" style="10" customWidth="1"/>
    <col min="7681" max="7682" width="9.140625" style="10"/>
    <col min="7683" max="7683" width="26.42578125" style="10" customWidth="1"/>
    <col min="7684" max="7684" width="22.42578125" style="10" customWidth="1"/>
    <col min="7685" max="7930" width="9.140625" style="10"/>
    <col min="7931" max="7931" width="9.28515625" style="10" customWidth="1"/>
    <col min="7932" max="7932" width="23" style="10" customWidth="1"/>
    <col min="7933" max="7933" width="12.42578125" style="10" customWidth="1"/>
    <col min="7934" max="7934" width="9.5703125" style="10" customWidth="1"/>
    <col min="7935" max="7935" width="23.5703125" style="10" customWidth="1"/>
    <col min="7936" max="7936" width="22.42578125" style="10" customWidth="1"/>
    <col min="7937" max="7938" width="9.140625" style="10"/>
    <col min="7939" max="7939" width="26.42578125" style="10" customWidth="1"/>
    <col min="7940" max="7940" width="22.42578125" style="10" customWidth="1"/>
    <col min="7941" max="8186" width="9.140625" style="10"/>
    <col min="8187" max="8187" width="9.28515625" style="10" customWidth="1"/>
    <col min="8188" max="8188" width="23" style="10" customWidth="1"/>
    <col min="8189" max="8189" width="12.42578125" style="10" customWidth="1"/>
    <col min="8190" max="8190" width="9.5703125" style="10" customWidth="1"/>
    <col min="8191" max="8191" width="23.5703125" style="10" customWidth="1"/>
    <col min="8192" max="8192" width="22.42578125" style="10" customWidth="1"/>
    <col min="8193" max="8194" width="9.140625" style="10"/>
    <col min="8195" max="8195" width="26.42578125" style="10" customWidth="1"/>
    <col min="8196" max="8196" width="22.42578125" style="10" customWidth="1"/>
    <col min="8197" max="8442" width="9.140625" style="10"/>
    <col min="8443" max="8443" width="9.28515625" style="10" customWidth="1"/>
    <col min="8444" max="8444" width="23" style="10" customWidth="1"/>
    <col min="8445" max="8445" width="12.42578125" style="10" customWidth="1"/>
    <col min="8446" max="8446" width="9.5703125" style="10" customWidth="1"/>
    <col min="8447" max="8447" width="23.5703125" style="10" customWidth="1"/>
    <col min="8448" max="8448" width="22.42578125" style="10" customWidth="1"/>
    <col min="8449" max="8450" width="9.140625" style="10"/>
    <col min="8451" max="8451" width="26.42578125" style="10" customWidth="1"/>
    <col min="8452" max="8452" width="22.42578125" style="10" customWidth="1"/>
    <col min="8453" max="8698" width="9.140625" style="10"/>
    <col min="8699" max="8699" width="9.28515625" style="10" customWidth="1"/>
    <col min="8700" max="8700" width="23" style="10" customWidth="1"/>
    <col min="8701" max="8701" width="12.42578125" style="10" customWidth="1"/>
    <col min="8702" max="8702" width="9.5703125" style="10" customWidth="1"/>
    <col min="8703" max="8703" width="23.5703125" style="10" customWidth="1"/>
    <col min="8704" max="8704" width="22.42578125" style="10" customWidth="1"/>
    <col min="8705" max="8706" width="9.140625" style="10"/>
    <col min="8707" max="8707" width="26.42578125" style="10" customWidth="1"/>
    <col min="8708" max="8708" width="22.42578125" style="10" customWidth="1"/>
    <col min="8709" max="8954" width="9.140625" style="10"/>
    <col min="8955" max="8955" width="9.28515625" style="10" customWidth="1"/>
    <col min="8956" max="8956" width="23" style="10" customWidth="1"/>
    <col min="8957" max="8957" width="12.42578125" style="10" customWidth="1"/>
    <col min="8958" max="8958" width="9.5703125" style="10" customWidth="1"/>
    <col min="8959" max="8959" width="23.5703125" style="10" customWidth="1"/>
    <col min="8960" max="8960" width="22.42578125" style="10" customWidth="1"/>
    <col min="8961" max="8962" width="9.140625" style="10"/>
    <col min="8963" max="8963" width="26.42578125" style="10" customWidth="1"/>
    <col min="8964" max="8964" width="22.42578125" style="10" customWidth="1"/>
    <col min="8965" max="9210" width="9.140625" style="10"/>
    <col min="9211" max="9211" width="9.28515625" style="10" customWidth="1"/>
    <col min="9212" max="9212" width="23" style="10" customWidth="1"/>
    <col min="9213" max="9213" width="12.42578125" style="10" customWidth="1"/>
    <col min="9214" max="9214" width="9.5703125" style="10" customWidth="1"/>
    <col min="9215" max="9215" width="23.5703125" style="10" customWidth="1"/>
    <col min="9216" max="9216" width="22.42578125" style="10" customWidth="1"/>
    <col min="9217" max="9218" width="9.140625" style="10"/>
    <col min="9219" max="9219" width="26.42578125" style="10" customWidth="1"/>
    <col min="9220" max="9220" width="22.42578125" style="10" customWidth="1"/>
    <col min="9221" max="9466" width="9.140625" style="10"/>
    <col min="9467" max="9467" width="9.28515625" style="10" customWidth="1"/>
    <col min="9468" max="9468" width="23" style="10" customWidth="1"/>
    <col min="9469" max="9469" width="12.42578125" style="10" customWidth="1"/>
    <col min="9470" max="9470" width="9.5703125" style="10" customWidth="1"/>
    <col min="9471" max="9471" width="23.5703125" style="10" customWidth="1"/>
    <col min="9472" max="9472" width="22.42578125" style="10" customWidth="1"/>
    <col min="9473" max="9474" width="9.140625" style="10"/>
    <col min="9475" max="9475" width="26.42578125" style="10" customWidth="1"/>
    <col min="9476" max="9476" width="22.42578125" style="10" customWidth="1"/>
    <col min="9477" max="9722" width="9.140625" style="10"/>
    <col min="9723" max="9723" width="9.28515625" style="10" customWidth="1"/>
    <col min="9724" max="9724" width="23" style="10" customWidth="1"/>
    <col min="9725" max="9725" width="12.42578125" style="10" customWidth="1"/>
    <col min="9726" max="9726" width="9.5703125" style="10" customWidth="1"/>
    <col min="9727" max="9727" width="23.5703125" style="10" customWidth="1"/>
    <col min="9728" max="9728" width="22.42578125" style="10" customWidth="1"/>
    <col min="9729" max="9730" width="9.140625" style="10"/>
    <col min="9731" max="9731" width="26.42578125" style="10" customWidth="1"/>
    <col min="9732" max="9732" width="22.42578125" style="10" customWidth="1"/>
    <col min="9733" max="9978" width="9.140625" style="10"/>
    <col min="9979" max="9979" width="9.28515625" style="10" customWidth="1"/>
    <col min="9980" max="9980" width="23" style="10" customWidth="1"/>
    <col min="9981" max="9981" width="12.42578125" style="10" customWidth="1"/>
    <col min="9982" max="9982" width="9.5703125" style="10" customWidth="1"/>
    <col min="9983" max="9983" width="23.5703125" style="10" customWidth="1"/>
    <col min="9984" max="9984" width="22.42578125" style="10" customWidth="1"/>
    <col min="9985" max="9986" width="9.140625" style="10"/>
    <col min="9987" max="9987" width="26.42578125" style="10" customWidth="1"/>
    <col min="9988" max="9988" width="22.42578125" style="10" customWidth="1"/>
    <col min="9989" max="10234" width="9.140625" style="10"/>
    <col min="10235" max="10235" width="9.28515625" style="10" customWidth="1"/>
    <col min="10236" max="10236" width="23" style="10" customWidth="1"/>
    <col min="10237" max="10237" width="12.42578125" style="10" customWidth="1"/>
    <col min="10238" max="10238" width="9.5703125" style="10" customWidth="1"/>
    <col min="10239" max="10239" width="23.5703125" style="10" customWidth="1"/>
    <col min="10240" max="10240" width="22.42578125" style="10" customWidth="1"/>
    <col min="10241" max="10242" width="9.140625" style="10"/>
    <col min="10243" max="10243" width="26.42578125" style="10" customWidth="1"/>
    <col min="10244" max="10244" width="22.42578125" style="10" customWidth="1"/>
    <col min="10245" max="10490" width="9.140625" style="10"/>
    <col min="10491" max="10491" width="9.28515625" style="10" customWidth="1"/>
    <col min="10492" max="10492" width="23" style="10" customWidth="1"/>
    <col min="10493" max="10493" width="12.42578125" style="10" customWidth="1"/>
    <col min="10494" max="10494" width="9.5703125" style="10" customWidth="1"/>
    <col min="10495" max="10495" width="23.5703125" style="10" customWidth="1"/>
    <col min="10496" max="10496" width="22.42578125" style="10" customWidth="1"/>
    <col min="10497" max="10498" width="9.140625" style="10"/>
    <col min="10499" max="10499" width="26.42578125" style="10" customWidth="1"/>
    <col min="10500" max="10500" width="22.42578125" style="10" customWidth="1"/>
    <col min="10501" max="10746" width="9.140625" style="10"/>
    <col min="10747" max="10747" width="9.28515625" style="10" customWidth="1"/>
    <col min="10748" max="10748" width="23" style="10" customWidth="1"/>
    <col min="10749" max="10749" width="12.42578125" style="10" customWidth="1"/>
    <col min="10750" max="10750" width="9.5703125" style="10" customWidth="1"/>
    <col min="10751" max="10751" width="23.5703125" style="10" customWidth="1"/>
    <col min="10752" max="10752" width="22.42578125" style="10" customWidth="1"/>
    <col min="10753" max="10754" width="9.140625" style="10"/>
    <col min="10755" max="10755" width="26.42578125" style="10" customWidth="1"/>
    <col min="10756" max="10756" width="22.42578125" style="10" customWidth="1"/>
    <col min="10757" max="11002" width="9.140625" style="10"/>
    <col min="11003" max="11003" width="9.28515625" style="10" customWidth="1"/>
    <col min="11004" max="11004" width="23" style="10" customWidth="1"/>
    <col min="11005" max="11005" width="12.42578125" style="10" customWidth="1"/>
    <col min="11006" max="11006" width="9.5703125" style="10" customWidth="1"/>
    <col min="11007" max="11007" width="23.5703125" style="10" customWidth="1"/>
    <col min="11008" max="11008" width="22.42578125" style="10" customWidth="1"/>
    <col min="11009" max="11010" width="9.140625" style="10"/>
    <col min="11011" max="11011" width="26.42578125" style="10" customWidth="1"/>
    <col min="11012" max="11012" width="22.42578125" style="10" customWidth="1"/>
    <col min="11013" max="11258" width="9.140625" style="10"/>
    <col min="11259" max="11259" width="9.28515625" style="10" customWidth="1"/>
    <col min="11260" max="11260" width="23" style="10" customWidth="1"/>
    <col min="11261" max="11261" width="12.42578125" style="10" customWidth="1"/>
    <col min="11262" max="11262" width="9.5703125" style="10" customWidth="1"/>
    <col min="11263" max="11263" width="23.5703125" style="10" customWidth="1"/>
    <col min="11264" max="11264" width="22.42578125" style="10" customWidth="1"/>
    <col min="11265" max="11266" width="9.140625" style="10"/>
    <col min="11267" max="11267" width="26.42578125" style="10" customWidth="1"/>
    <col min="11268" max="11268" width="22.42578125" style="10" customWidth="1"/>
    <col min="11269" max="11514" width="9.140625" style="10"/>
    <col min="11515" max="11515" width="9.28515625" style="10" customWidth="1"/>
    <col min="11516" max="11516" width="23" style="10" customWidth="1"/>
    <col min="11517" max="11517" width="12.42578125" style="10" customWidth="1"/>
    <col min="11518" max="11518" width="9.5703125" style="10" customWidth="1"/>
    <col min="11519" max="11519" width="23.5703125" style="10" customWidth="1"/>
    <col min="11520" max="11520" width="22.42578125" style="10" customWidth="1"/>
    <col min="11521" max="11522" width="9.140625" style="10"/>
    <col min="11523" max="11523" width="26.42578125" style="10" customWidth="1"/>
    <col min="11524" max="11524" width="22.42578125" style="10" customWidth="1"/>
    <col min="11525" max="11770" width="9.140625" style="10"/>
    <col min="11771" max="11771" width="9.28515625" style="10" customWidth="1"/>
    <col min="11772" max="11772" width="23" style="10" customWidth="1"/>
    <col min="11773" max="11773" width="12.42578125" style="10" customWidth="1"/>
    <col min="11774" max="11774" width="9.5703125" style="10" customWidth="1"/>
    <col min="11775" max="11775" width="23.5703125" style="10" customWidth="1"/>
    <col min="11776" max="11776" width="22.42578125" style="10" customWidth="1"/>
    <col min="11777" max="11778" width="9.140625" style="10"/>
    <col min="11779" max="11779" width="26.42578125" style="10" customWidth="1"/>
    <col min="11780" max="11780" width="22.42578125" style="10" customWidth="1"/>
    <col min="11781" max="12026" width="9.140625" style="10"/>
    <col min="12027" max="12027" width="9.28515625" style="10" customWidth="1"/>
    <col min="12028" max="12028" width="23" style="10" customWidth="1"/>
    <col min="12029" max="12029" width="12.42578125" style="10" customWidth="1"/>
    <col min="12030" max="12030" width="9.5703125" style="10" customWidth="1"/>
    <col min="12031" max="12031" width="23.5703125" style="10" customWidth="1"/>
    <col min="12032" max="12032" width="22.42578125" style="10" customWidth="1"/>
    <col min="12033" max="12034" width="9.140625" style="10"/>
    <col min="12035" max="12035" width="26.42578125" style="10" customWidth="1"/>
    <col min="12036" max="12036" width="22.42578125" style="10" customWidth="1"/>
    <col min="12037" max="12282" width="9.140625" style="10"/>
    <col min="12283" max="12283" width="9.28515625" style="10" customWidth="1"/>
    <col min="12284" max="12284" width="23" style="10" customWidth="1"/>
    <col min="12285" max="12285" width="12.42578125" style="10" customWidth="1"/>
    <col min="12286" max="12286" width="9.5703125" style="10" customWidth="1"/>
    <col min="12287" max="12287" width="23.5703125" style="10" customWidth="1"/>
    <col min="12288" max="12288" width="22.42578125" style="10" customWidth="1"/>
    <col min="12289" max="12290" width="9.140625" style="10"/>
    <col min="12291" max="12291" width="26.42578125" style="10" customWidth="1"/>
    <col min="12292" max="12292" width="22.42578125" style="10" customWidth="1"/>
    <col min="12293" max="12538" width="9.140625" style="10"/>
    <col min="12539" max="12539" width="9.28515625" style="10" customWidth="1"/>
    <col min="12540" max="12540" width="23" style="10" customWidth="1"/>
    <col min="12541" max="12541" width="12.42578125" style="10" customWidth="1"/>
    <col min="12542" max="12542" width="9.5703125" style="10" customWidth="1"/>
    <col min="12543" max="12543" width="23.5703125" style="10" customWidth="1"/>
    <col min="12544" max="12544" width="22.42578125" style="10" customWidth="1"/>
    <col min="12545" max="12546" width="9.140625" style="10"/>
    <col min="12547" max="12547" width="26.42578125" style="10" customWidth="1"/>
    <col min="12548" max="12548" width="22.42578125" style="10" customWidth="1"/>
    <col min="12549" max="12794" width="9.140625" style="10"/>
    <col min="12795" max="12795" width="9.28515625" style="10" customWidth="1"/>
    <col min="12796" max="12796" width="23" style="10" customWidth="1"/>
    <col min="12797" max="12797" width="12.42578125" style="10" customWidth="1"/>
    <col min="12798" max="12798" width="9.5703125" style="10" customWidth="1"/>
    <col min="12799" max="12799" width="23.5703125" style="10" customWidth="1"/>
    <col min="12800" max="12800" width="22.42578125" style="10" customWidth="1"/>
    <col min="12801" max="12802" width="9.140625" style="10"/>
    <col min="12803" max="12803" width="26.42578125" style="10" customWidth="1"/>
    <col min="12804" max="12804" width="22.42578125" style="10" customWidth="1"/>
    <col min="12805" max="13050" width="9.140625" style="10"/>
    <col min="13051" max="13051" width="9.28515625" style="10" customWidth="1"/>
    <col min="13052" max="13052" width="23" style="10" customWidth="1"/>
    <col min="13053" max="13053" width="12.42578125" style="10" customWidth="1"/>
    <col min="13054" max="13054" width="9.5703125" style="10" customWidth="1"/>
    <col min="13055" max="13055" width="23.5703125" style="10" customWidth="1"/>
    <col min="13056" max="13056" width="22.42578125" style="10" customWidth="1"/>
    <col min="13057" max="13058" width="9.140625" style="10"/>
    <col min="13059" max="13059" width="26.42578125" style="10" customWidth="1"/>
    <col min="13060" max="13060" width="22.42578125" style="10" customWidth="1"/>
    <col min="13061" max="13306" width="9.140625" style="10"/>
    <col min="13307" max="13307" width="9.28515625" style="10" customWidth="1"/>
    <col min="13308" max="13308" width="23" style="10" customWidth="1"/>
    <col min="13309" max="13309" width="12.42578125" style="10" customWidth="1"/>
    <col min="13310" max="13310" width="9.5703125" style="10" customWidth="1"/>
    <col min="13311" max="13311" width="23.5703125" style="10" customWidth="1"/>
    <col min="13312" max="13312" width="22.42578125" style="10" customWidth="1"/>
    <col min="13313" max="13314" width="9.140625" style="10"/>
    <col min="13315" max="13315" width="26.42578125" style="10" customWidth="1"/>
    <col min="13316" max="13316" width="22.42578125" style="10" customWidth="1"/>
    <col min="13317" max="13562" width="9.140625" style="10"/>
    <col min="13563" max="13563" width="9.28515625" style="10" customWidth="1"/>
    <col min="13564" max="13564" width="23" style="10" customWidth="1"/>
    <col min="13565" max="13565" width="12.42578125" style="10" customWidth="1"/>
    <col min="13566" max="13566" width="9.5703125" style="10" customWidth="1"/>
    <col min="13567" max="13567" width="23.5703125" style="10" customWidth="1"/>
    <col min="13568" max="13568" width="22.42578125" style="10" customWidth="1"/>
    <col min="13569" max="13570" width="9.140625" style="10"/>
    <col min="13571" max="13571" width="26.42578125" style="10" customWidth="1"/>
    <col min="13572" max="13572" width="22.42578125" style="10" customWidth="1"/>
    <col min="13573" max="13818" width="9.140625" style="10"/>
    <col min="13819" max="13819" width="9.28515625" style="10" customWidth="1"/>
    <col min="13820" max="13820" width="23" style="10" customWidth="1"/>
    <col min="13821" max="13821" width="12.42578125" style="10" customWidth="1"/>
    <col min="13822" max="13822" width="9.5703125" style="10" customWidth="1"/>
    <col min="13823" max="13823" width="23.5703125" style="10" customWidth="1"/>
    <col min="13824" max="13824" width="22.42578125" style="10" customWidth="1"/>
    <col min="13825" max="13826" width="9.140625" style="10"/>
    <col min="13827" max="13827" width="26.42578125" style="10" customWidth="1"/>
    <col min="13828" max="13828" width="22.42578125" style="10" customWidth="1"/>
    <col min="13829" max="14074" width="9.140625" style="10"/>
    <col min="14075" max="14075" width="9.28515625" style="10" customWidth="1"/>
    <col min="14076" max="14076" width="23" style="10" customWidth="1"/>
    <col min="14077" max="14077" width="12.42578125" style="10" customWidth="1"/>
    <col min="14078" max="14078" width="9.5703125" style="10" customWidth="1"/>
    <col min="14079" max="14079" width="23.5703125" style="10" customWidth="1"/>
    <col min="14080" max="14080" width="22.42578125" style="10" customWidth="1"/>
    <col min="14081" max="14082" width="9.140625" style="10"/>
    <col min="14083" max="14083" width="26.42578125" style="10" customWidth="1"/>
    <col min="14084" max="14084" width="22.42578125" style="10" customWidth="1"/>
    <col min="14085" max="14330" width="9.140625" style="10"/>
    <col min="14331" max="14331" width="9.28515625" style="10" customWidth="1"/>
    <col min="14332" max="14332" width="23" style="10" customWidth="1"/>
    <col min="14333" max="14333" width="12.42578125" style="10" customWidth="1"/>
    <col min="14334" max="14334" width="9.5703125" style="10" customWidth="1"/>
    <col min="14335" max="14335" width="23.5703125" style="10" customWidth="1"/>
    <col min="14336" max="14336" width="22.42578125" style="10" customWidth="1"/>
    <col min="14337" max="14338" width="9.140625" style="10"/>
    <col min="14339" max="14339" width="26.42578125" style="10" customWidth="1"/>
    <col min="14340" max="14340" width="22.42578125" style="10" customWidth="1"/>
    <col min="14341" max="14586" width="9.140625" style="10"/>
    <col min="14587" max="14587" width="9.28515625" style="10" customWidth="1"/>
    <col min="14588" max="14588" width="23" style="10" customWidth="1"/>
    <col min="14589" max="14589" width="12.42578125" style="10" customWidth="1"/>
    <col min="14590" max="14590" width="9.5703125" style="10" customWidth="1"/>
    <col min="14591" max="14591" width="23.5703125" style="10" customWidth="1"/>
    <col min="14592" max="14592" width="22.42578125" style="10" customWidth="1"/>
    <col min="14593" max="14594" width="9.140625" style="10"/>
    <col min="14595" max="14595" width="26.42578125" style="10" customWidth="1"/>
    <col min="14596" max="14596" width="22.42578125" style="10" customWidth="1"/>
    <col min="14597" max="14842" width="9.140625" style="10"/>
    <col min="14843" max="14843" width="9.28515625" style="10" customWidth="1"/>
    <col min="14844" max="14844" width="23" style="10" customWidth="1"/>
    <col min="14845" max="14845" width="12.42578125" style="10" customWidth="1"/>
    <col min="14846" max="14846" width="9.5703125" style="10" customWidth="1"/>
    <col min="14847" max="14847" width="23.5703125" style="10" customWidth="1"/>
    <col min="14848" max="14848" width="22.42578125" style="10" customWidth="1"/>
    <col min="14849" max="14850" width="9.140625" style="10"/>
    <col min="14851" max="14851" width="26.42578125" style="10" customWidth="1"/>
    <col min="14852" max="14852" width="22.42578125" style="10" customWidth="1"/>
    <col min="14853" max="15098" width="9.140625" style="10"/>
    <col min="15099" max="15099" width="9.28515625" style="10" customWidth="1"/>
    <col min="15100" max="15100" width="23" style="10" customWidth="1"/>
    <col min="15101" max="15101" width="12.42578125" style="10" customWidth="1"/>
    <col min="15102" max="15102" width="9.5703125" style="10" customWidth="1"/>
    <col min="15103" max="15103" width="23.5703125" style="10" customWidth="1"/>
    <col min="15104" max="15104" width="22.42578125" style="10" customWidth="1"/>
    <col min="15105" max="15106" width="9.140625" style="10"/>
    <col min="15107" max="15107" width="26.42578125" style="10" customWidth="1"/>
    <col min="15108" max="15108" width="22.42578125" style="10" customWidth="1"/>
    <col min="15109" max="15354" width="9.140625" style="10"/>
    <col min="15355" max="15355" width="9.28515625" style="10" customWidth="1"/>
    <col min="15356" max="15356" width="23" style="10" customWidth="1"/>
    <col min="15357" max="15357" width="12.42578125" style="10" customWidth="1"/>
    <col min="15358" max="15358" width="9.5703125" style="10" customWidth="1"/>
    <col min="15359" max="15359" width="23.5703125" style="10" customWidth="1"/>
    <col min="15360" max="15360" width="22.42578125" style="10" customWidth="1"/>
    <col min="15361" max="15362" width="9.140625" style="10"/>
    <col min="15363" max="15363" width="26.42578125" style="10" customWidth="1"/>
    <col min="15364" max="15364" width="22.42578125" style="10" customWidth="1"/>
    <col min="15365" max="15610" width="9.140625" style="10"/>
    <col min="15611" max="15611" width="9.28515625" style="10" customWidth="1"/>
    <col min="15612" max="15612" width="23" style="10" customWidth="1"/>
    <col min="15613" max="15613" width="12.42578125" style="10" customWidth="1"/>
    <col min="15614" max="15614" width="9.5703125" style="10" customWidth="1"/>
    <col min="15615" max="15615" width="23.5703125" style="10" customWidth="1"/>
    <col min="15616" max="15616" width="22.42578125" style="10" customWidth="1"/>
    <col min="15617" max="15618" width="9.140625" style="10"/>
    <col min="15619" max="15619" width="26.42578125" style="10" customWidth="1"/>
    <col min="15620" max="15620" width="22.42578125" style="10" customWidth="1"/>
    <col min="15621" max="15866" width="9.140625" style="10"/>
    <col min="15867" max="15867" width="9.28515625" style="10" customWidth="1"/>
    <col min="15868" max="15868" width="23" style="10" customWidth="1"/>
    <col min="15869" max="15869" width="12.42578125" style="10" customWidth="1"/>
    <col min="15870" max="15870" width="9.5703125" style="10" customWidth="1"/>
    <col min="15871" max="15871" width="23.5703125" style="10" customWidth="1"/>
    <col min="15872" max="15872" width="22.42578125" style="10" customWidth="1"/>
    <col min="15873" max="15874" width="9.140625" style="10"/>
    <col min="15875" max="15875" width="26.42578125" style="10" customWidth="1"/>
    <col min="15876" max="15876" width="22.42578125" style="10" customWidth="1"/>
    <col min="15877" max="16122" width="9.140625" style="10"/>
    <col min="16123" max="16123" width="9.28515625" style="10" customWidth="1"/>
    <col min="16124" max="16124" width="23" style="10" customWidth="1"/>
    <col min="16125" max="16125" width="12.42578125" style="10" customWidth="1"/>
    <col min="16126" max="16126" width="9.5703125" style="10" customWidth="1"/>
    <col min="16127" max="16127" width="23.5703125" style="10" customWidth="1"/>
    <col min="16128" max="16128" width="22.42578125" style="10" customWidth="1"/>
    <col min="16129" max="16130" width="9.140625" style="10"/>
    <col min="16131" max="16131" width="26.42578125" style="10" customWidth="1"/>
    <col min="16132" max="16132" width="22.42578125" style="10" customWidth="1"/>
    <col min="16133" max="16384" width="9.140625" style="10"/>
  </cols>
  <sheetData>
    <row r="1" spans="1:21" x14ac:dyDescent="0.25">
      <c r="A1" s="10" t="s">
        <v>1989</v>
      </c>
      <c r="B1" s="10" t="s">
        <v>1990</v>
      </c>
      <c r="D1" s="250" t="s">
        <v>1998</v>
      </c>
      <c r="F1" s="250" t="s">
        <v>1991</v>
      </c>
      <c r="G1" s="250" t="s">
        <v>1992</v>
      </c>
      <c r="I1" s="250" t="s">
        <v>1993</v>
      </c>
      <c r="J1" s="250" t="s">
        <v>1992</v>
      </c>
      <c r="L1" s="251" t="s">
        <v>1986</v>
      </c>
      <c r="M1" s="252" t="s">
        <v>2099</v>
      </c>
      <c r="P1" s="268" t="s">
        <v>2186</v>
      </c>
      <c r="Q1" s="268" t="s">
        <v>2236</v>
      </c>
      <c r="R1" s="269" t="s">
        <v>2185</v>
      </c>
      <c r="S1" s="269" t="s">
        <v>2229</v>
      </c>
      <c r="T1" s="271" t="s">
        <v>2230</v>
      </c>
      <c r="U1" s="271" t="s">
        <v>2232</v>
      </c>
    </row>
    <row r="2" spans="1:21" x14ac:dyDescent="0.25">
      <c r="D2" s="211" t="s">
        <v>1999</v>
      </c>
      <c r="F2" s="211" t="s">
        <v>1994</v>
      </c>
      <c r="G2" s="212">
        <v>0.25</v>
      </c>
      <c r="I2" s="211" t="s">
        <v>1995</v>
      </c>
      <c r="J2" s="212">
        <v>0.25</v>
      </c>
      <c r="L2" s="253" t="s">
        <v>1038</v>
      </c>
      <c r="M2" s="254" t="s">
        <v>1038</v>
      </c>
      <c r="P2" s="264" t="s">
        <v>2188</v>
      </c>
      <c r="Q2" s="264" t="s">
        <v>1043</v>
      </c>
      <c r="R2" s="265" t="s">
        <v>2187</v>
      </c>
      <c r="S2" s="270">
        <v>4629</v>
      </c>
      <c r="T2" s="272" t="s">
        <v>2253</v>
      </c>
      <c r="U2" s="272"/>
    </row>
    <row r="3" spans="1:21" x14ac:dyDescent="0.25">
      <c r="D3" s="211" t="s">
        <v>2001</v>
      </c>
      <c r="F3" s="211"/>
      <c r="G3" s="212"/>
      <c r="I3" s="211"/>
      <c r="J3" s="212"/>
      <c r="L3" s="253" t="s">
        <v>2100</v>
      </c>
      <c r="M3" s="254" t="s">
        <v>2101</v>
      </c>
      <c r="P3" s="264" t="s">
        <v>2175</v>
      </c>
      <c r="Q3" s="264" t="s">
        <v>2227</v>
      </c>
      <c r="R3" s="265" t="s">
        <v>2189</v>
      </c>
      <c r="S3" s="270">
        <v>259</v>
      </c>
      <c r="T3" s="272" t="s">
        <v>2253</v>
      </c>
      <c r="U3" s="272"/>
    </row>
    <row r="4" spans="1:21" ht="25.5" x14ac:dyDescent="0.25">
      <c r="D4" s="211" t="s">
        <v>2002</v>
      </c>
      <c r="F4" s="211"/>
      <c r="G4" s="212"/>
      <c r="I4" s="211"/>
      <c r="J4" s="212"/>
      <c r="L4" s="253" t="s">
        <v>2102</v>
      </c>
      <c r="M4" s="254" t="s">
        <v>2103</v>
      </c>
      <c r="P4" s="264" t="s">
        <v>2183</v>
      </c>
      <c r="Q4" s="264" t="s">
        <v>1043</v>
      </c>
      <c r="R4" s="265" t="s">
        <v>2191</v>
      </c>
      <c r="S4" s="270">
        <v>4606</v>
      </c>
      <c r="T4" s="272" t="s">
        <v>2237</v>
      </c>
      <c r="U4" s="273" t="s">
        <v>2238</v>
      </c>
    </row>
    <row r="5" spans="1:21" x14ac:dyDescent="0.25">
      <c r="D5" s="211" t="s">
        <v>2003</v>
      </c>
      <c r="F5" s="211" t="s">
        <v>2000</v>
      </c>
      <c r="G5" s="212">
        <v>0</v>
      </c>
      <c r="I5" s="211" t="s">
        <v>2000</v>
      </c>
      <c r="J5" s="212">
        <v>0</v>
      </c>
      <c r="L5" s="255" t="s">
        <v>2104</v>
      </c>
      <c r="M5" s="256" t="s">
        <v>2105</v>
      </c>
      <c r="P5" s="264" t="s">
        <v>2184</v>
      </c>
      <c r="Q5" s="264" t="s">
        <v>1043</v>
      </c>
      <c r="R5" s="265" t="s">
        <v>2190</v>
      </c>
      <c r="S5" s="270">
        <v>2543</v>
      </c>
      <c r="T5" s="272" t="s">
        <v>2253</v>
      </c>
      <c r="U5" s="272"/>
    </row>
    <row r="6" spans="1:21" ht="25.5" x14ac:dyDescent="0.25">
      <c r="L6" s="253" t="s">
        <v>2106</v>
      </c>
      <c r="M6" s="254" t="s">
        <v>2106</v>
      </c>
      <c r="P6" s="264" t="s">
        <v>2173</v>
      </c>
      <c r="Q6" s="264" t="s">
        <v>2227</v>
      </c>
      <c r="R6" s="265" t="s">
        <v>2192</v>
      </c>
      <c r="S6" s="270">
        <v>851</v>
      </c>
      <c r="T6" s="272" t="s">
        <v>2251</v>
      </c>
      <c r="U6" s="273" t="s">
        <v>2252</v>
      </c>
    </row>
    <row r="7" spans="1:21" ht="25.5" x14ac:dyDescent="0.25">
      <c r="L7" s="253" t="s">
        <v>2107</v>
      </c>
      <c r="M7" s="254" t="s">
        <v>2108</v>
      </c>
      <c r="P7" s="264" t="s">
        <v>2179</v>
      </c>
      <c r="Q7" s="264" t="s">
        <v>2227</v>
      </c>
      <c r="R7" s="265" t="s">
        <v>2193</v>
      </c>
      <c r="S7" s="270">
        <v>778</v>
      </c>
      <c r="T7" s="272" t="s">
        <v>2234</v>
      </c>
      <c r="U7" s="273" t="s">
        <v>2235</v>
      </c>
    </row>
    <row r="8" spans="1:21" x14ac:dyDescent="0.25">
      <c r="L8" s="253" t="s">
        <v>2109</v>
      </c>
      <c r="M8" s="254" t="s">
        <v>2110</v>
      </c>
      <c r="P8" s="264" t="s">
        <v>2221</v>
      </c>
      <c r="Q8" s="264" t="s">
        <v>2228</v>
      </c>
      <c r="R8" s="265" t="s">
        <v>2220</v>
      </c>
      <c r="S8" s="270">
        <v>2139</v>
      </c>
      <c r="T8" s="272" t="s">
        <v>2253</v>
      </c>
      <c r="U8" s="272"/>
    </row>
    <row r="9" spans="1:21" x14ac:dyDescent="0.25">
      <c r="L9" s="253" t="s">
        <v>2111</v>
      </c>
      <c r="M9" s="254" t="s">
        <v>2111</v>
      </c>
      <c r="P9" s="264" t="s">
        <v>2172</v>
      </c>
      <c r="Q9" s="264" t="s">
        <v>2174</v>
      </c>
      <c r="R9" s="265" t="s">
        <v>2194</v>
      </c>
      <c r="S9" s="270">
        <v>1889</v>
      </c>
      <c r="T9" s="272" t="s">
        <v>2253</v>
      </c>
      <c r="U9" s="272"/>
    </row>
    <row r="10" spans="1:21" ht="30" x14ac:dyDescent="0.25">
      <c r="L10" s="253" t="s">
        <v>1987</v>
      </c>
      <c r="M10" s="254" t="s">
        <v>2112</v>
      </c>
      <c r="P10" s="264" t="s">
        <v>2196</v>
      </c>
      <c r="Q10" s="264" t="s">
        <v>2228</v>
      </c>
      <c r="R10" s="265" t="s">
        <v>2195</v>
      </c>
      <c r="S10" s="270">
        <v>2545</v>
      </c>
      <c r="T10" s="272" t="s">
        <v>2239</v>
      </c>
      <c r="U10" s="273" t="s">
        <v>2240</v>
      </c>
    </row>
    <row r="11" spans="1:21" x14ac:dyDescent="0.25">
      <c r="L11" s="253" t="s">
        <v>1988</v>
      </c>
      <c r="M11" s="254" t="s">
        <v>1988</v>
      </c>
      <c r="P11" s="264" t="s">
        <v>2180</v>
      </c>
      <c r="Q11" s="264" t="s">
        <v>2227</v>
      </c>
      <c r="R11" s="265" t="s">
        <v>2197</v>
      </c>
      <c r="S11" s="270">
        <v>1560</v>
      </c>
      <c r="T11" s="272" t="s">
        <v>2253</v>
      </c>
      <c r="U11" s="272"/>
    </row>
    <row r="12" spans="1:21" ht="30" x14ac:dyDescent="0.25">
      <c r="L12" s="253" t="s">
        <v>2113</v>
      </c>
      <c r="M12" s="254" t="s">
        <v>2098</v>
      </c>
      <c r="P12" s="264" t="s">
        <v>2171</v>
      </c>
      <c r="Q12" s="264" t="s">
        <v>2174</v>
      </c>
      <c r="R12" s="265" t="s">
        <v>2202</v>
      </c>
      <c r="S12" s="270">
        <v>2117</v>
      </c>
      <c r="T12" s="272" t="s">
        <v>2241</v>
      </c>
      <c r="U12" s="273" t="s">
        <v>2242</v>
      </c>
    </row>
    <row r="13" spans="1:21" x14ac:dyDescent="0.25">
      <c r="L13" s="253" t="s">
        <v>2114</v>
      </c>
      <c r="M13" s="254" t="s">
        <v>2115</v>
      </c>
      <c r="P13" s="264" t="s">
        <v>2201</v>
      </c>
      <c r="Q13" s="264" t="s">
        <v>2228</v>
      </c>
      <c r="R13" s="265" t="s">
        <v>2200</v>
      </c>
      <c r="S13" s="270">
        <v>3172</v>
      </c>
      <c r="T13" s="272" t="s">
        <v>2253</v>
      </c>
      <c r="U13" s="272"/>
    </row>
    <row r="14" spans="1:21" ht="30" x14ac:dyDescent="0.25">
      <c r="L14" s="253" t="s">
        <v>2116</v>
      </c>
      <c r="M14" s="254" t="s">
        <v>2117</v>
      </c>
      <c r="P14" s="264" t="s">
        <v>2199</v>
      </c>
      <c r="Q14" s="264" t="s">
        <v>2228</v>
      </c>
      <c r="R14" s="265" t="s">
        <v>2198</v>
      </c>
      <c r="S14" s="270">
        <v>3159</v>
      </c>
      <c r="T14" s="272" t="s">
        <v>2249</v>
      </c>
      <c r="U14" s="273" t="s">
        <v>2250</v>
      </c>
    </row>
    <row r="15" spans="1:21" x14ac:dyDescent="0.25">
      <c r="L15" s="253" t="s">
        <v>2118</v>
      </c>
      <c r="M15" s="254" t="s">
        <v>2119</v>
      </c>
      <c r="P15" s="264" t="s">
        <v>2168</v>
      </c>
      <c r="Q15" s="264" t="s">
        <v>1043</v>
      </c>
      <c r="R15" s="265" t="s">
        <v>2203</v>
      </c>
      <c r="S15" s="270">
        <v>2035</v>
      </c>
      <c r="T15" s="272" t="s">
        <v>2253</v>
      </c>
      <c r="U15" s="272"/>
    </row>
    <row r="16" spans="1:21" x14ac:dyDescent="0.25">
      <c r="L16" s="253" t="s">
        <v>2120</v>
      </c>
      <c r="M16" s="254" t="s">
        <v>2121</v>
      </c>
      <c r="P16" s="264" t="s">
        <v>2177</v>
      </c>
      <c r="Q16" s="264" t="s">
        <v>2227</v>
      </c>
      <c r="R16" s="265" t="s">
        <v>2204</v>
      </c>
      <c r="S16" s="270">
        <v>118</v>
      </c>
      <c r="T16" s="272" t="s">
        <v>2253</v>
      </c>
      <c r="U16" s="272"/>
    </row>
    <row r="17" spans="12:21" ht="25.5" x14ac:dyDescent="0.25">
      <c r="L17" s="253" t="s">
        <v>2122</v>
      </c>
      <c r="M17" s="254" t="s">
        <v>2123</v>
      </c>
      <c r="P17" s="264" t="s">
        <v>2176</v>
      </c>
      <c r="Q17" s="264" t="s">
        <v>2227</v>
      </c>
      <c r="R17" s="265" t="s">
        <v>2206</v>
      </c>
      <c r="S17" s="270">
        <v>48.3</v>
      </c>
      <c r="T17" s="272" t="s">
        <v>2254</v>
      </c>
      <c r="U17" s="273" t="s">
        <v>2255</v>
      </c>
    </row>
    <row r="18" spans="12:21" x14ac:dyDescent="0.25">
      <c r="L18" s="253" t="s">
        <v>2124</v>
      </c>
      <c r="M18" s="254" t="s">
        <v>2125</v>
      </c>
      <c r="P18" s="264" t="s">
        <v>2181</v>
      </c>
      <c r="Q18" s="264" t="s">
        <v>2227</v>
      </c>
      <c r="R18" s="265" t="s">
        <v>2207</v>
      </c>
      <c r="S18" s="270">
        <v>1126</v>
      </c>
      <c r="T18" s="272" t="s">
        <v>2253</v>
      </c>
      <c r="U18" s="272"/>
    </row>
    <row r="19" spans="12:21" ht="30" x14ac:dyDescent="0.25">
      <c r="L19" s="253" t="s">
        <v>2126</v>
      </c>
      <c r="M19" s="254" t="s">
        <v>2127</v>
      </c>
      <c r="P19" s="264" t="s">
        <v>2182</v>
      </c>
      <c r="Q19" s="264" t="s">
        <v>2166</v>
      </c>
      <c r="R19" s="265" t="s">
        <v>2205</v>
      </c>
      <c r="S19" s="270">
        <v>3099</v>
      </c>
      <c r="T19" s="272" t="s">
        <v>2233</v>
      </c>
      <c r="U19" s="273" t="s">
        <v>2231</v>
      </c>
    </row>
    <row r="20" spans="12:21" ht="30" x14ac:dyDescent="0.25">
      <c r="L20" s="253" t="s">
        <v>2128</v>
      </c>
      <c r="M20" s="254" t="s">
        <v>2129</v>
      </c>
      <c r="P20" s="264" t="s">
        <v>2170</v>
      </c>
      <c r="Q20" s="264" t="s">
        <v>2174</v>
      </c>
      <c r="R20" s="265" t="s">
        <v>2208</v>
      </c>
      <c r="S20" s="270">
        <v>2289</v>
      </c>
      <c r="T20" s="272" t="s">
        <v>2256</v>
      </c>
      <c r="U20" s="273" t="s">
        <v>2257</v>
      </c>
    </row>
    <row r="21" spans="12:21" x14ac:dyDescent="0.25">
      <c r="L21" s="253" t="s">
        <v>2130</v>
      </c>
      <c r="M21" s="254" t="s">
        <v>2131</v>
      </c>
      <c r="P21" s="264" t="s">
        <v>2178</v>
      </c>
      <c r="Q21" s="264" t="s">
        <v>2227</v>
      </c>
      <c r="R21" s="265" t="s">
        <v>2209</v>
      </c>
      <c r="S21" s="270">
        <v>287</v>
      </c>
      <c r="T21" s="272" t="s">
        <v>2253</v>
      </c>
      <c r="U21" s="272"/>
    </row>
    <row r="22" spans="12:21" x14ac:dyDescent="0.25">
      <c r="L22" s="255" t="s">
        <v>2132</v>
      </c>
      <c r="M22" s="256" t="s">
        <v>2133</v>
      </c>
      <c r="P22" s="264" t="s">
        <v>2212</v>
      </c>
      <c r="Q22" s="264" t="s">
        <v>1043</v>
      </c>
      <c r="R22" s="265" t="s">
        <v>2211</v>
      </c>
      <c r="S22" s="270">
        <v>4122</v>
      </c>
      <c r="T22" s="272" t="s">
        <v>2253</v>
      </c>
      <c r="U22" s="272"/>
    </row>
    <row r="23" spans="12:21" x14ac:dyDescent="0.25">
      <c r="L23" s="255" t="s">
        <v>2134</v>
      </c>
      <c r="M23" s="256" t="s">
        <v>2135</v>
      </c>
      <c r="P23" s="264" t="s">
        <v>2214</v>
      </c>
      <c r="Q23" s="264" t="s">
        <v>1043</v>
      </c>
      <c r="R23" s="265" t="s">
        <v>2213</v>
      </c>
      <c r="S23" s="270">
        <v>5395</v>
      </c>
      <c r="T23" s="272" t="s">
        <v>2253</v>
      </c>
      <c r="U23" s="272"/>
    </row>
    <row r="24" spans="12:21" ht="30" x14ac:dyDescent="0.25">
      <c r="L24" s="255" t="s">
        <v>2136</v>
      </c>
      <c r="M24" s="256" t="s">
        <v>2137</v>
      </c>
      <c r="P24" s="264" t="s">
        <v>2167</v>
      </c>
      <c r="Q24" s="264" t="s">
        <v>2166</v>
      </c>
      <c r="R24" s="265" t="s">
        <v>2210</v>
      </c>
      <c r="S24" s="270">
        <v>4022</v>
      </c>
      <c r="T24" s="272" t="s">
        <v>2243</v>
      </c>
      <c r="U24" s="273" t="s">
        <v>2244</v>
      </c>
    </row>
    <row r="25" spans="12:21" x14ac:dyDescent="0.25">
      <c r="L25" s="255" t="s">
        <v>2138</v>
      </c>
      <c r="M25" s="256" t="s">
        <v>2139</v>
      </c>
      <c r="P25" s="264" t="s">
        <v>287</v>
      </c>
      <c r="Q25" s="264" t="s">
        <v>2166</v>
      </c>
      <c r="R25" s="265" t="s">
        <v>2215</v>
      </c>
      <c r="S25" s="270">
        <v>3365</v>
      </c>
      <c r="T25" s="272" t="s">
        <v>2253</v>
      </c>
      <c r="U25" s="272"/>
    </row>
    <row r="26" spans="12:21" x14ac:dyDescent="0.25">
      <c r="L26" s="255" t="s">
        <v>2140</v>
      </c>
      <c r="M26" s="256" t="s">
        <v>2141</v>
      </c>
      <c r="P26" s="264" t="s">
        <v>2174</v>
      </c>
      <c r="Q26" s="264" t="s">
        <v>2227</v>
      </c>
      <c r="R26" s="265" t="s">
        <v>2217</v>
      </c>
      <c r="S26" s="270">
        <v>540</v>
      </c>
      <c r="T26" s="272" t="s">
        <v>2253</v>
      </c>
      <c r="U26" s="272"/>
    </row>
    <row r="27" spans="12:21" ht="30" x14ac:dyDescent="0.25">
      <c r="L27" s="255" t="s">
        <v>2142</v>
      </c>
      <c r="M27" s="256" t="s">
        <v>2143</v>
      </c>
      <c r="P27" s="264" t="s">
        <v>2169</v>
      </c>
      <c r="Q27" s="264" t="s">
        <v>2174</v>
      </c>
      <c r="R27" s="265" t="s">
        <v>2216</v>
      </c>
      <c r="S27" s="270">
        <v>2657</v>
      </c>
      <c r="T27" s="272" t="s">
        <v>2245</v>
      </c>
      <c r="U27" s="273" t="s">
        <v>2246</v>
      </c>
    </row>
    <row r="28" spans="12:21" ht="25.5" x14ac:dyDescent="0.25">
      <c r="L28" s="255" t="s">
        <v>2144</v>
      </c>
      <c r="M28" s="256" t="s">
        <v>2145</v>
      </c>
      <c r="P28" s="264" t="s">
        <v>2219</v>
      </c>
      <c r="Q28" s="264" t="s">
        <v>2228</v>
      </c>
      <c r="R28" s="265" t="s">
        <v>2218</v>
      </c>
      <c r="S28" s="270">
        <v>1934</v>
      </c>
      <c r="T28" s="272" t="s">
        <v>2247</v>
      </c>
      <c r="U28" s="273" t="s">
        <v>2248</v>
      </c>
    </row>
    <row r="29" spans="12:21" x14ac:dyDescent="0.25">
      <c r="L29" s="255" t="s">
        <v>2146</v>
      </c>
      <c r="M29" s="256" t="s">
        <v>2147</v>
      </c>
      <c r="P29" s="264" t="s">
        <v>2166</v>
      </c>
      <c r="Q29" s="264">
        <f>COUNTIF($Q$2:$Q$28,ESTADOS[[#This Row],[Sigla]])</f>
        <v>3</v>
      </c>
      <c r="R29" s="265" t="s">
        <v>2223</v>
      </c>
      <c r="S29" s="270">
        <f t="array" ref="S29">MIN(IF($Q$2:$Q$28 = ESTADOS[[#This Row],[Sigla]],IF($S$2:$S$28 &gt; 0, $S$2:$S$28)))</f>
        <v>3099</v>
      </c>
      <c r="T29" s="272"/>
      <c r="U29" s="272"/>
    </row>
    <row r="30" spans="12:21" x14ac:dyDescent="0.25">
      <c r="L30" s="255" t="s">
        <v>2148</v>
      </c>
      <c r="M30" s="256" t="s">
        <v>2149</v>
      </c>
      <c r="P30" s="264" t="s">
        <v>2174</v>
      </c>
      <c r="Q30" s="264">
        <f>COUNTIF($Q$2:$Q$28,ESTADOS[[#This Row],[Sigla]])</f>
        <v>4</v>
      </c>
      <c r="R30" s="265" t="s">
        <v>2224</v>
      </c>
      <c r="S30" s="270">
        <f t="array" ref="S30">MIN(IF($Q$2:$Q$28 = ESTADOS[[#This Row],[Sigla]],IF($S$2:$S$28 &gt; 0, $S$2:$S$28)))</f>
        <v>1889</v>
      </c>
      <c r="T30" s="272"/>
      <c r="U30" s="272"/>
    </row>
    <row r="31" spans="12:21" x14ac:dyDescent="0.25">
      <c r="L31" s="255" t="s">
        <v>2150</v>
      </c>
      <c r="M31" s="256" t="s">
        <v>2151</v>
      </c>
      <c r="P31" s="264" t="s">
        <v>1043</v>
      </c>
      <c r="Q31" s="264">
        <f>COUNTIF($Q$2:$Q$28,ESTADOS[[#This Row],[Sigla]])</f>
        <v>6</v>
      </c>
      <c r="R31" s="265" t="s">
        <v>2225</v>
      </c>
      <c r="S31" s="270">
        <f t="array" ref="S31">MIN(IF($Q$2:$Q$28 = ESTADOS[[#This Row],[Sigla]],IF($S$2:$S$28 &gt; 0, $S$2:$S$28)))</f>
        <v>2035</v>
      </c>
      <c r="T31" s="272"/>
      <c r="U31" s="272"/>
    </row>
    <row r="32" spans="12:21" x14ac:dyDescent="0.25">
      <c r="L32" s="255" t="s">
        <v>2152</v>
      </c>
      <c r="M32" s="256" t="s">
        <v>2153</v>
      </c>
      <c r="P32" s="264" t="s">
        <v>2227</v>
      </c>
      <c r="Q32" s="264">
        <f>COUNTIF($Q$2:$Q$28,ESTADOS[[#This Row],[Sigla]])</f>
        <v>9</v>
      </c>
      <c r="R32" s="265" t="s">
        <v>2222</v>
      </c>
      <c r="S32" s="270">
        <f t="array" ref="S32">MIN(IF($Q$2:$Q$28 = ESTADOS[[#This Row],[Sigla]],IF($S$2:$S$28 &gt; 0, $S$2:$S$28)))</f>
        <v>48.3</v>
      </c>
      <c r="T32" s="272"/>
      <c r="U32" s="272"/>
    </row>
    <row r="33" spans="12:21" x14ac:dyDescent="0.25">
      <c r="L33" s="255" t="s">
        <v>2154</v>
      </c>
      <c r="M33" s="256" t="s">
        <v>2154</v>
      </c>
      <c r="P33" s="266" t="s">
        <v>2228</v>
      </c>
      <c r="Q33" s="264">
        <f>COUNTIF($Q$2:$Q$28,ESTADOS[[#This Row],[Sigla]])</f>
        <v>5</v>
      </c>
      <c r="R33" s="267" t="s">
        <v>2226</v>
      </c>
      <c r="S33" s="270">
        <f t="array" ref="S33">MIN(IF($Q$2:$Q$28 = ESTADOS[[#This Row],[Sigla]],IF($S$2:$S$28 &gt; 0, $S$2:$S$28)))</f>
        <v>1934</v>
      </c>
      <c r="T33" s="274"/>
      <c r="U33" s="274"/>
    </row>
    <row r="34" spans="12:21" x14ac:dyDescent="0.25">
      <c r="L34" s="255" t="s">
        <v>2155</v>
      </c>
      <c r="M34" s="256" t="s">
        <v>2156</v>
      </c>
    </row>
  </sheetData>
  <hyperlinks>
    <hyperlink ref="U19" r:id="rId1"/>
    <hyperlink ref="U7" r:id="rId2"/>
    <hyperlink ref="U4" r:id="rId3"/>
    <hyperlink ref="U10" r:id="rId4"/>
    <hyperlink ref="U12" r:id="rId5"/>
    <hyperlink ref="U24" r:id="rId6"/>
    <hyperlink ref="U27" r:id="rId7"/>
    <hyperlink ref="U28" r:id="rId8"/>
    <hyperlink ref="U14" r:id="rId9"/>
    <hyperlink ref="U6" r:id="rId10"/>
    <hyperlink ref="U17" r:id="rId11"/>
    <hyperlink ref="U20" r:id="rId12"/>
  </hyperlinks>
  <pageMargins left="0.511811024" right="0.511811024" top="0.78740157499999996" bottom="0.78740157499999996" header="0.31496062000000002" footer="0.31496062000000002"/>
  <tableParts count="2">
    <tablePart r:id="rId13"/>
    <tablePart r:id="rId1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view="pageBreakPreview" zoomScale="115" zoomScaleNormal="100" zoomScaleSheetLayoutView="115" workbookViewId="0">
      <selection activeCell="C22" sqref="C22"/>
    </sheetView>
  </sheetViews>
  <sheetFormatPr defaultRowHeight="15" x14ac:dyDescent="0.25"/>
  <cols>
    <col min="1" max="1" width="12.7109375" customWidth="1"/>
    <col min="2" max="2" width="35.7109375" customWidth="1"/>
    <col min="3" max="3" width="11.42578125" customWidth="1"/>
    <col min="4" max="4" width="15.7109375" customWidth="1"/>
    <col min="5" max="5" width="20.42578125" customWidth="1"/>
    <col min="6" max="6" width="18.7109375" customWidth="1"/>
    <col min="7" max="7" width="19.140625" customWidth="1"/>
    <col min="8" max="8" width="23.42578125" customWidth="1"/>
    <col min="9" max="9" width="19.7109375" bestFit="1" customWidth="1"/>
  </cols>
  <sheetData>
    <row r="1" spans="1:9" x14ac:dyDescent="0.25">
      <c r="A1" s="257" t="s">
        <v>2157</v>
      </c>
      <c r="B1" s="10"/>
      <c r="C1" s="10"/>
      <c r="D1" s="10"/>
      <c r="E1" s="10"/>
      <c r="F1" s="10"/>
      <c r="G1" s="10"/>
      <c r="H1" s="10"/>
      <c r="I1" s="10"/>
    </row>
    <row r="2" spans="1:9" ht="30" x14ac:dyDescent="0.25">
      <c r="A2" s="258" t="s">
        <v>2158</v>
      </c>
      <c r="B2" s="259" t="s">
        <v>14</v>
      </c>
      <c r="C2" s="259" t="s">
        <v>2099</v>
      </c>
      <c r="D2" s="259" t="s">
        <v>2159</v>
      </c>
      <c r="E2" s="259" t="s">
        <v>2160</v>
      </c>
      <c r="F2" s="259" t="s">
        <v>2161</v>
      </c>
      <c r="G2" s="259" t="s">
        <v>2162</v>
      </c>
      <c r="H2" s="259" t="s">
        <v>2163</v>
      </c>
      <c r="I2" s="260" t="s">
        <v>2164</v>
      </c>
    </row>
    <row r="3" spans="1:9" x14ac:dyDescent="0.25">
      <c r="A3" s="261" t="str">
        <f t="shared" ref="A3:A12" si="0">IF(ROW(3:3)-ROW($2:$2) &lt; 10, "I"&amp;"00"&amp;ROW(3:3)-ROW($2:$2),IF(ROW(3:3)-ROW($2:$2) &lt; 100, "I"&amp;"0"&amp;ROW(3:3)-ROW($2:$2), "I"&amp;ROW(3:3)-ROW($2:$2)))</f>
        <v>I001</v>
      </c>
      <c r="B3" s="211"/>
      <c r="C3" s="211"/>
      <c r="D3" s="211"/>
      <c r="E3" s="211"/>
      <c r="F3" s="211"/>
      <c r="G3" s="211"/>
      <c r="H3" s="211"/>
      <c r="I3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4" spans="1:9" x14ac:dyDescent="0.25">
      <c r="A4" s="261" t="str">
        <f t="shared" si="0"/>
        <v>I002</v>
      </c>
      <c r="B4" s="211"/>
      <c r="C4" s="211"/>
      <c r="D4" s="211"/>
      <c r="E4" s="211"/>
      <c r="F4" s="211"/>
      <c r="G4" s="211"/>
      <c r="H4" s="211"/>
      <c r="I4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5" spans="1:9" x14ac:dyDescent="0.25">
      <c r="A5" s="261" t="str">
        <f t="shared" si="0"/>
        <v>I003</v>
      </c>
      <c r="B5" s="211"/>
      <c r="C5" s="211"/>
      <c r="D5" s="211"/>
      <c r="E5" s="211"/>
      <c r="F5" s="211"/>
      <c r="G5" s="211"/>
      <c r="H5" s="211"/>
      <c r="I5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6" spans="1:9" x14ac:dyDescent="0.25">
      <c r="A6" s="261" t="str">
        <f t="shared" si="0"/>
        <v>I004</v>
      </c>
      <c r="B6" s="211"/>
      <c r="C6" s="211"/>
      <c r="D6" s="211"/>
      <c r="E6" s="211"/>
      <c r="F6" s="211"/>
      <c r="G6" s="211"/>
      <c r="H6" s="211"/>
      <c r="I6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7" spans="1:9" x14ac:dyDescent="0.25">
      <c r="A7" s="261" t="str">
        <f t="shared" si="0"/>
        <v>I005</v>
      </c>
      <c r="B7" s="211"/>
      <c r="C7" s="211"/>
      <c r="D7" s="211"/>
      <c r="E7" s="211"/>
      <c r="F7" s="211"/>
      <c r="G7" s="211"/>
      <c r="H7" s="211"/>
      <c r="I7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8" spans="1:9" x14ac:dyDescent="0.25">
      <c r="A8" s="261" t="str">
        <f t="shared" si="0"/>
        <v>I006</v>
      </c>
      <c r="B8" s="211"/>
      <c r="C8" s="211"/>
      <c r="D8" s="211"/>
      <c r="E8" s="211"/>
      <c r="F8" s="211"/>
      <c r="G8" s="211"/>
      <c r="H8" s="211"/>
      <c r="I8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9" spans="1:9" x14ac:dyDescent="0.25">
      <c r="A9" s="261" t="str">
        <f t="shared" si="0"/>
        <v>I007</v>
      </c>
      <c r="B9" s="211"/>
      <c r="C9" s="211"/>
      <c r="D9" s="211"/>
      <c r="E9" s="211"/>
      <c r="F9" s="211"/>
      <c r="G9" s="211"/>
      <c r="H9" s="211"/>
      <c r="I9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10" spans="1:9" x14ac:dyDescent="0.25">
      <c r="A10" s="261" t="str">
        <f t="shared" si="0"/>
        <v>I008</v>
      </c>
      <c r="B10" s="211"/>
      <c r="C10" s="211"/>
      <c r="D10" s="211"/>
      <c r="E10" s="211"/>
      <c r="F10" s="211"/>
      <c r="G10" s="211"/>
      <c r="H10" s="211"/>
      <c r="I10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11" spans="1:9" x14ac:dyDescent="0.25">
      <c r="A11" s="261" t="str">
        <f t="shared" si="0"/>
        <v>I009</v>
      </c>
      <c r="B11" s="211"/>
      <c r="C11" s="211"/>
      <c r="D11" s="211"/>
      <c r="E11" s="211"/>
      <c r="F11" s="211"/>
      <c r="G11" s="211"/>
      <c r="H11" s="211"/>
      <c r="I11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12" spans="1:9" x14ac:dyDescent="0.25">
      <c r="A12" s="261" t="str">
        <f t="shared" si="0"/>
        <v>I010</v>
      </c>
      <c r="B12" s="263"/>
      <c r="C12" s="263"/>
      <c r="D12" s="263"/>
      <c r="E12" s="263"/>
      <c r="F12" s="263"/>
      <c r="G12" s="263"/>
      <c r="H12" s="263"/>
      <c r="I12" s="262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</sheetData>
  <dataValidations count="9">
    <dataValidation allowBlank="1" showInputMessage="1" showErrorMessage="1" promptTitle="VALOR DA CESTA NA COTAÇÃO" prompt="É o valor da cesta na &quot;data-base da cotação&quot;. Esse valor é fornecido através das publicações das entidades de &quot;referência&quot;." sqref="H2"/>
    <dataValidation allowBlank="1" showInputMessage="1" showErrorMessage="1" promptTitle="VALOR DA CESTA NA COTAÇÃO" sqref="H3"/>
    <dataValidation allowBlank="1" showInputMessage="1" showErrorMessage="1" promptTitle="VALOR DA CESTA NO ORÇAMENTO" prompt="É o valor da cesta na &quot;data-base do orçamento&quot;. Esse valor é fornecido através das publicações das entidades de &quot;referência&quot;." sqref="F2"/>
    <dataValidation allowBlank="1" showInputMessage="1" showErrorMessage="1" promptTitle="DATA-BASE DO ORÇAMENTO" prompt="É a data-base do orçamento que utilizará essas cotações, informada pelo solicitante da tarefa." sqref="E2"/>
    <dataValidation allowBlank="1" showInputMessage="1" showErrorMessage="1" promptTitle="DATA-BASE DA COTAÇÃO" prompt="Informar a data-base da cotação que será corrigida._x000a__x000a_NOTA: criar tantos itens de reajustes em função da quantidade de datas-bases distintas da data-base do orçamento." sqref="G2"/>
    <dataValidation allowBlank="1" showInputMessage="1" showErrorMessage="1" promptTitle="REFERÊNCIA" prompt="Inserir a fonte do índice._x000a__x000a_Ex.:_x000a_- Para o INCC, a fonte é FGV;_x000a_- Para o IPCA, a fonte é IBGE." sqref="D2"/>
    <dataValidation allowBlank="1" showInputMessage="1" showErrorMessage="1" promptTitle="SIGLA" prompt="Sigla utilizada pelo índice._x000a__x000a_Ex.: INCC ou IPCA._x000a__x000a_NOTA: atenção para as datas de coleta. Ex.: diferenças entre INCC-DI, INCC-10 e INCC-M._x000a__x000a_" sqref="C2"/>
    <dataValidation allowBlank="1" showInputMessage="1" showErrorMessage="1" promptTitle="DESCRIÇÃO" prompt="Descrição do nome do índice, por extenso._x000a__x000a_Ex.: _x000a_- Índice Nacional de Custo da Construção;_x000a_- Índice Nacional de Preços ao Consumidor Amplo." sqref="B2"/>
    <dataValidation allowBlank="1" showInputMessage="1" showErrorMessage="1" promptTitle="CÓDIGO DO ÍNDICE" prompt="Código do item, preenchido de forma automática, que servirá como chave estrangeira na aba &quot;COT&quot;." sqref="A2"/>
  </dataValidations>
  <pageMargins left="0.511811024" right="0.511811024" top="0.78740157499999996" bottom="0.78740157499999996" header="0.31496062000000002" footer="0.31496062000000002"/>
  <pageSetup paperSize="9" scale="52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/>
  <dimension ref="A1:BS761"/>
  <sheetViews>
    <sheetView zoomScale="55" zoomScaleNormal="55" workbookViewId="0">
      <pane xSplit="4" topLeftCell="E1" activePane="topRight" state="frozen"/>
      <selection pane="topRight" activeCell="B217" sqref="B217"/>
    </sheetView>
  </sheetViews>
  <sheetFormatPr defaultRowHeight="15" x14ac:dyDescent="0.25"/>
  <cols>
    <col min="1" max="1" width="13.85546875" bestFit="1" customWidth="1"/>
    <col min="2" max="2" width="12.7109375" bestFit="1" customWidth="1"/>
    <col min="3" max="3" width="8.28515625" customWidth="1"/>
    <col min="4" max="4" width="77.42578125" style="15" customWidth="1"/>
    <col min="5" max="5" width="7.7109375" bestFit="1" customWidth="1"/>
    <col min="6" max="6" width="16.42578125" bestFit="1" customWidth="1"/>
    <col min="7" max="7" width="12.28515625" bestFit="1" customWidth="1"/>
    <col min="8" max="8" width="13.140625" customWidth="1"/>
    <col min="9" max="9" width="12.28515625" customWidth="1"/>
    <col min="10" max="12" width="16.42578125" customWidth="1"/>
    <col min="13" max="13" width="11.85546875" customWidth="1"/>
    <col min="14" max="14" width="15.28515625" bestFit="1" customWidth="1"/>
    <col min="15" max="15" width="14.7109375" customWidth="1"/>
    <col min="16" max="20" width="14.7109375" hidden="1" customWidth="1"/>
    <col min="21" max="21" width="15.5703125" hidden="1" customWidth="1"/>
    <col min="22" max="26" width="14.7109375" hidden="1" customWidth="1"/>
    <col min="27" max="27" width="16.5703125" style="202" bestFit="1" customWidth="1"/>
    <col min="28" max="28" width="9.140625" style="202"/>
    <col min="29" max="29" width="16.42578125" style="202" customWidth="1"/>
    <col min="30" max="31" width="13.42578125" style="202" customWidth="1"/>
    <col min="32" max="32" width="15.7109375" style="203" bestFit="1" customWidth="1"/>
    <col min="33" max="33" width="15" bestFit="1" customWidth="1"/>
    <col min="34" max="34" width="10.7109375" customWidth="1"/>
    <col min="35" max="35" width="25.5703125" style="202" customWidth="1"/>
    <col min="36" max="37" width="14.5703125" customWidth="1"/>
    <col min="38" max="38" width="16" customWidth="1"/>
    <col min="39" max="39" width="13.42578125" bestFit="1" customWidth="1"/>
    <col min="41" max="41" width="18.85546875" style="233" bestFit="1" customWidth="1"/>
    <col min="42" max="43" width="11.7109375" customWidth="1"/>
    <col min="44" max="44" width="12.5703125" bestFit="1" customWidth="1"/>
    <col min="45" max="45" width="12.7109375" customWidth="1"/>
    <col min="47" max="47" width="16" customWidth="1"/>
    <col min="48" max="49" width="11.7109375" customWidth="1"/>
    <col min="50" max="50" width="12" customWidth="1"/>
    <col min="51" max="51" width="12.7109375" customWidth="1"/>
    <col min="52" max="52" width="12.42578125" bestFit="1" customWidth="1"/>
    <col min="53" max="53" width="21" bestFit="1" customWidth="1"/>
    <col min="54" max="55" width="11.7109375" customWidth="1"/>
    <col min="56" max="56" width="12" customWidth="1"/>
    <col min="57" max="57" width="12.7109375" customWidth="1"/>
    <col min="59" max="59" width="21" bestFit="1" customWidth="1"/>
    <col min="60" max="61" width="11.7109375" customWidth="1"/>
    <col min="62" max="62" width="12" customWidth="1"/>
    <col min="68" max="68" width="6.85546875" style="213" hidden="1" customWidth="1"/>
    <col min="69" max="70" width="9.140625" style="213" hidden="1" customWidth="1"/>
    <col min="71" max="71" width="0" style="213" hidden="1" customWidth="1"/>
  </cols>
  <sheetData>
    <row r="1" spans="1:70" ht="15" customHeight="1" thickBot="1" x14ac:dyDescent="0.3">
      <c r="A1" s="343" t="s">
        <v>406</v>
      </c>
      <c r="B1" s="345" t="s">
        <v>12</v>
      </c>
      <c r="C1" s="189" t="s">
        <v>402</v>
      </c>
      <c r="D1" s="347" t="s">
        <v>14</v>
      </c>
      <c r="E1" s="345" t="s">
        <v>15</v>
      </c>
      <c r="F1" s="37" t="s">
        <v>403</v>
      </c>
      <c r="G1" s="38" t="s">
        <v>1</v>
      </c>
      <c r="H1" s="239"/>
      <c r="I1" s="239"/>
    </row>
    <row r="2" spans="1:70" ht="15" customHeight="1" thickBot="1" x14ac:dyDescent="0.3">
      <c r="A2" s="344"/>
      <c r="B2" s="346"/>
      <c r="C2" s="190" t="s">
        <v>402</v>
      </c>
      <c r="D2" s="348"/>
      <c r="E2" s="346"/>
      <c r="F2" s="39" t="s">
        <v>407</v>
      </c>
      <c r="G2" s="40" t="s">
        <v>407</v>
      </c>
      <c r="H2" s="333" t="s">
        <v>1996</v>
      </c>
      <c r="I2" s="331" t="s">
        <v>1997</v>
      </c>
      <c r="J2" s="349" t="s">
        <v>2021</v>
      </c>
      <c r="K2" s="331" t="s">
        <v>2022</v>
      </c>
      <c r="L2" s="335" t="s">
        <v>2023</v>
      </c>
      <c r="M2" s="340" t="s">
        <v>1033</v>
      </c>
      <c r="N2" s="341"/>
      <c r="O2" s="342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337" t="s">
        <v>1034</v>
      </c>
      <c r="AB2" s="338"/>
      <c r="AC2" s="338"/>
      <c r="AD2" s="338"/>
      <c r="AE2" s="338"/>
      <c r="AF2" s="339"/>
      <c r="AG2" s="337" t="s">
        <v>1035</v>
      </c>
      <c r="AH2" s="338"/>
      <c r="AI2" s="338"/>
      <c r="AJ2" s="338"/>
      <c r="AK2" s="338"/>
      <c r="AL2" s="339"/>
      <c r="AM2" s="337" t="s">
        <v>1036</v>
      </c>
      <c r="AN2" s="338"/>
      <c r="AO2" s="338"/>
      <c r="AP2" s="338"/>
      <c r="AQ2" s="338"/>
      <c r="AR2" s="339"/>
      <c r="AS2" s="337" t="s">
        <v>1042</v>
      </c>
      <c r="AT2" s="338"/>
      <c r="AU2" s="338"/>
      <c r="AV2" s="338"/>
      <c r="AW2" s="338"/>
      <c r="AX2" s="339"/>
      <c r="AY2" s="337" t="s">
        <v>1057</v>
      </c>
      <c r="AZ2" s="338"/>
      <c r="BA2" s="338"/>
      <c r="BB2" s="338"/>
      <c r="BC2" s="338"/>
      <c r="BD2" s="339"/>
      <c r="BE2" s="337" t="s">
        <v>2006</v>
      </c>
      <c r="BF2" s="338"/>
      <c r="BG2" s="338"/>
      <c r="BH2" s="338"/>
      <c r="BI2" s="338"/>
      <c r="BJ2" s="339"/>
      <c r="BQ2" s="213" t="s">
        <v>1999</v>
      </c>
      <c r="BR2" s="213" t="s">
        <v>1994</v>
      </c>
    </row>
    <row r="3" spans="1:70" x14ac:dyDescent="0.25">
      <c r="A3" s="41" t="s">
        <v>405</v>
      </c>
      <c r="B3" s="42"/>
      <c r="C3" s="42"/>
      <c r="D3" s="54"/>
      <c r="E3" s="42"/>
      <c r="F3" s="42"/>
      <c r="G3" s="43"/>
      <c r="H3" s="334"/>
      <c r="I3" s="332"/>
      <c r="J3" s="350"/>
      <c r="K3" s="332"/>
      <c r="L3" s="336"/>
      <c r="M3" s="215" t="s">
        <v>2004</v>
      </c>
      <c r="N3" s="214" t="s">
        <v>12</v>
      </c>
      <c r="O3" s="216" t="s">
        <v>13</v>
      </c>
      <c r="P3" s="222" t="s">
        <v>1999</v>
      </c>
      <c r="Q3" s="223" t="s">
        <v>2005</v>
      </c>
      <c r="R3" s="223" t="s">
        <v>2001</v>
      </c>
      <c r="S3" s="223" t="s">
        <v>2002</v>
      </c>
      <c r="T3" s="223" t="s">
        <v>2003</v>
      </c>
      <c r="U3" s="223" t="s">
        <v>1034</v>
      </c>
      <c r="V3" s="223" t="s">
        <v>1035</v>
      </c>
      <c r="W3" s="223" t="s">
        <v>1036</v>
      </c>
      <c r="X3" s="223" t="s">
        <v>1042</v>
      </c>
      <c r="Y3" s="223" t="s">
        <v>1057</v>
      </c>
      <c r="Z3" s="223" t="s">
        <v>2006</v>
      </c>
      <c r="AA3" s="224" t="s">
        <v>2007</v>
      </c>
      <c r="AB3" s="225" t="s">
        <v>2008</v>
      </c>
      <c r="AC3" s="226" t="s">
        <v>2009</v>
      </c>
      <c r="AD3" s="227" t="s">
        <v>2010</v>
      </c>
      <c r="AE3" s="227" t="s">
        <v>2011</v>
      </c>
      <c r="AF3" s="228" t="s">
        <v>2012</v>
      </c>
      <c r="AG3" s="224" t="s">
        <v>2007</v>
      </c>
      <c r="AH3" s="225" t="s">
        <v>2008</v>
      </c>
      <c r="AI3" s="232" t="s">
        <v>2009</v>
      </c>
      <c r="AJ3" s="227" t="s">
        <v>2010</v>
      </c>
      <c r="AK3" s="227" t="s">
        <v>2011</v>
      </c>
      <c r="AL3" s="228" t="s">
        <v>2012</v>
      </c>
      <c r="AM3" s="224" t="s">
        <v>2007</v>
      </c>
      <c r="AN3" s="225" t="s">
        <v>2008</v>
      </c>
      <c r="AO3" s="232" t="s">
        <v>2009</v>
      </c>
      <c r="AP3" s="227" t="s">
        <v>2010</v>
      </c>
      <c r="AQ3" s="227" t="s">
        <v>2011</v>
      </c>
      <c r="AR3" s="228" t="s">
        <v>2012</v>
      </c>
      <c r="AS3" s="224" t="s">
        <v>2007</v>
      </c>
      <c r="AT3" s="225" t="s">
        <v>2008</v>
      </c>
      <c r="AU3" s="226" t="s">
        <v>2009</v>
      </c>
      <c r="AV3" s="227" t="s">
        <v>2010</v>
      </c>
      <c r="AW3" s="227" t="s">
        <v>2011</v>
      </c>
      <c r="AX3" s="228" t="s">
        <v>2012</v>
      </c>
      <c r="AY3" s="224" t="s">
        <v>2007</v>
      </c>
      <c r="AZ3" s="225" t="s">
        <v>2008</v>
      </c>
      <c r="BA3" s="226" t="s">
        <v>2009</v>
      </c>
      <c r="BB3" s="227" t="s">
        <v>2010</v>
      </c>
      <c r="BC3" s="227" t="s">
        <v>2011</v>
      </c>
      <c r="BD3" s="228" t="s">
        <v>2012</v>
      </c>
      <c r="BE3" s="224" t="s">
        <v>2007</v>
      </c>
      <c r="BF3" s="225" t="s">
        <v>2008</v>
      </c>
      <c r="BG3" s="226" t="s">
        <v>2009</v>
      </c>
      <c r="BH3" s="227" t="s">
        <v>2010</v>
      </c>
      <c r="BI3" s="227" t="s">
        <v>2011</v>
      </c>
      <c r="BJ3" s="228" t="s">
        <v>2012</v>
      </c>
      <c r="BQ3" s="213" t="s">
        <v>2001</v>
      </c>
    </row>
    <row r="4" spans="1:70" ht="22.5" customHeight="1" x14ac:dyDescent="0.25">
      <c r="A4" s="44" t="s">
        <v>405</v>
      </c>
      <c r="B4" s="58" t="s">
        <v>105</v>
      </c>
      <c r="C4" s="45">
        <v>4</v>
      </c>
      <c r="D4" s="55" t="s">
        <v>97</v>
      </c>
      <c r="E4" s="45" t="s">
        <v>20</v>
      </c>
      <c r="F4" s="46" t="str">
        <f>J4</f>
        <v>DEFINIR CRITÉRIO</v>
      </c>
      <c r="G4" s="47" t="str">
        <f>J4</f>
        <v>DEFINIR CRITÉRIO</v>
      </c>
      <c r="H4" s="240" t="s">
        <v>2000</v>
      </c>
      <c r="I4" s="240" t="s">
        <v>2001</v>
      </c>
      <c r="J4" s="242" t="str">
        <f>IFERROR(IF(N4&lt;&gt;"",M4,IF(I4 = PARÂMETROS!$B$5,Q4, IF(I4 = PARÂMETROS!$B$6,R4,IF(I4 = PARÂMETROS!$B$7,S4,IF(I4 = PARÂMETROS!$B$8, T4,"DEFINIR CRITÉRIO"))))),"SEM PREÇO")</f>
        <v>DEFINIR CRITÉRIO</v>
      </c>
      <c r="K4" s="241" t="str">
        <f>IF(OR(J4="", J4="DEFINIR VALOR", J4="DEFINIR CRITÉRIO"),"",IFERROR(_xlfn.STDEV.P(AA4,AG4,AM4,AS4,AY4,BE4),0))</f>
        <v/>
      </c>
      <c r="L4" s="238" t="str">
        <f>IF(OR(P4="", P4="DEFINIR VALOR", P4="DEFINIR CRITÉRIO",K4 = ""),"", IF(P4 = 0, "", K4/P4))</f>
        <v/>
      </c>
      <c r="M4" s="51"/>
      <c r="N4" s="52"/>
      <c r="O4" s="53"/>
      <c r="P4" s="235">
        <f>IFERROR(AVERAGE(AA4,AG4,AM4,AS4,AY4,BE4),0)</f>
        <v>38.4</v>
      </c>
      <c r="Q4" s="236">
        <f>IFERROR(AVERAGE(U4:Z4),0)</f>
        <v>0</v>
      </c>
      <c r="R4" s="236">
        <f>IFERROR(MEDIAN(U4:Z4),0)</f>
        <v>0</v>
      </c>
      <c r="S4" s="236">
        <f>IFERROR(SMALL(U4:Z4,1),0)</f>
        <v>0</v>
      </c>
      <c r="T4" s="236">
        <f>IFERROR(_xlfn.MODE.SNGL(U4:Z4),0)</f>
        <v>0</v>
      </c>
      <c r="U4" s="237" t="e">
        <f>IF(AA4 = "", "", IF(OR($H4 = PARÂMETROS!$E$5, $H4 = ""), AA4, IF(OR(AA4 &lt; (1-VLOOKUP($H4,PARÂMETROS!$E:$F,2,FALSE))*$P4, AA4 &gt; (1+VLOOKUP($H4,PARÂMETROS!$E:$F,2,FALSE))*$P4),"",AA4)))</f>
        <v>#N/A</v>
      </c>
      <c r="V4" s="237" t="e">
        <f>IF(AG4 = "", "", IF(OR($H4 = PARÂMETROS!$E$5, $H4 = ""), AG4, IF(OR(AG4 &lt; (1-VLOOKUP($H4,PARÂMETROS!$E:$F,2,FALSE))*$P9, AG4 &gt; (1+VLOOKUP($H4,PARÂMETROS!$E:$F,2,FALSE))*$P4),"",AG4)))</f>
        <v>#N/A</v>
      </c>
      <c r="W4" s="237" t="e">
        <f>IF(AM4 = "", "", IF(OR($H4 = PARÂMETROS!$E$5, $H4 = ""), AM4, IF(OR(AM4 &lt; (1-VLOOKUP($H4,PARÂMETROS!$E:$F,2,FALSE))*$P4, AM4 &gt; (1+VLOOKUP($H4,PARÂMETROS!$E:$F,2,FALSE))*$P4),"",AM4)))</f>
        <v>#N/A</v>
      </c>
      <c r="X4" s="237" t="str">
        <f>IF(AS4 = "", "", IF(OR($H4 = PARÂMETROS!$E$5, $H4 = ""), AS4, IF(OR(AS4 &lt; (1-VLOOKUP($H4,PARÂMETROS!$E:$F,2,FALSE))*$P4, AS4 &gt; (1+VLOOKUP($H4,PARÂMETROS!$E:$F,2,FALSE))*$P4),"",AS4)))</f>
        <v/>
      </c>
      <c r="Y4" s="237" t="str">
        <f>IF(AY4 = "", "", IF(OR($H4 = PARÂMETROS!$E$5, $H4 = ""), AY4, IF(OR(AY4 &lt; (1-VLOOKUP($H4,PARÂMETROS!$E:$F,2,FALSE))*$P4, AY4 &gt; (1+VLOOKUP($H4,PARÂMETROS!$E:$F,2,FALSE))*$P4),"",AY4)))</f>
        <v/>
      </c>
      <c r="Z4" s="237" t="str">
        <f>IF(BE4 = "", "", IF(OR($H4 = PARÂMETROS!$E$5, $H4 = ""), BE4, IF(OR(BE4 &lt; (1-VLOOKUP($H4,PARÂMETROS!$E:$F,2,FALSE))*$P4, BE4 &gt; (1+VLOOKUP($H4,PARÂMETROS!$E:$F,2,FALSE))*$P4),"",BE4)))</f>
        <v/>
      </c>
      <c r="AA4" s="204">
        <v>31.76</v>
      </c>
      <c r="AB4" s="205">
        <v>1886</v>
      </c>
      <c r="AC4" s="206" t="e">
        <f>IF(AND(OR(AA4="",AA4=0),OR(AA4="",AB4=0)),"",IF(OR(AA4="",AA4=0),"DEFINIR PREÇO",IF(OR(AB4="",AB4=0),"DEFINIR FORNECEDOR",IF(OR(AA4&lt;&gt;"",AA4&lt;&gt;0),VLOOKUP(AB4,#REF!,2,FALSE)))))</f>
        <v>#REF!</v>
      </c>
      <c r="AD4" s="221" t="s">
        <v>1977</v>
      </c>
      <c r="AE4" s="218">
        <v>44932</v>
      </c>
      <c r="AF4" s="220" t="str">
        <f ca="1">IF(AE4 = "", "", IF(AE4 + 180 &gt; TODAY(),"VIGENTE", "DESATUALIZADA"))</f>
        <v>DESATUALIZADA</v>
      </c>
      <c r="AG4" s="229">
        <v>37.07</v>
      </c>
      <c r="AH4" s="231">
        <v>1587</v>
      </c>
      <c r="AI4" s="206" t="e">
        <f>IF(AND(OR(AG4="",AG4=0),OR(AG4="",AH4=0)),"",IF(OR(AG4="",AG4=0),"DEFINIR PREÇO",IF(OR(AH4="",AH4=0),"DEFINIR FORNECEDOR",IF(OR(AG4&lt;&gt;"",AG4&lt;&gt;0),VLOOKUP(AH4,#REF!,2,FALSE)))))</f>
        <v>#REF!</v>
      </c>
      <c r="AJ4" s="217" t="s">
        <v>1977</v>
      </c>
      <c r="AK4" s="218">
        <v>44932</v>
      </c>
      <c r="AL4" s="220" t="str">
        <f ca="1">IF(AK4 = "", "", IF(AK4 + 180 &gt; TODAY(),"VIGENTE", "DESATUALIZADA"))</f>
        <v>DESATUALIZADA</v>
      </c>
      <c r="AM4" s="229">
        <v>46.37</v>
      </c>
      <c r="AN4" s="231">
        <v>1586</v>
      </c>
      <c r="AO4" s="206" t="e">
        <f>IF(AND(OR(AM4="",AM4=0),OR(AM4="",AN4=0)),"",IF(OR(AM4="",AM4=0),"DEFINIR PREÇO",IF(OR(AN4="",AN4=0),"DEFINIR FORNECEDOR",IF(OR(AM4&lt;&gt;"",AM4&lt;&gt;0),VLOOKUP(AN4,#REF!,2,FALSE)))))</f>
        <v>#REF!</v>
      </c>
      <c r="AP4" s="217" t="s">
        <v>1977</v>
      </c>
      <c r="AQ4" s="218">
        <v>44932</v>
      </c>
      <c r="AR4" s="220" t="str">
        <f ca="1">IF(AQ4 = "", "", IF(AQ4 + 180 &gt; TODAY(),"VIGENTE", "DESATUALIZADA"))</f>
        <v>DESATUALIZADA</v>
      </c>
      <c r="AS4" s="229"/>
      <c r="AT4" s="231"/>
      <c r="AU4" s="194"/>
      <c r="AV4" s="217"/>
      <c r="AW4" s="218"/>
      <c r="AX4" s="220" t="str">
        <f ca="1">IF(AW4 = "", "", IF(AW4 + 180 &gt; TODAY(),"VIGENTE", "DESATUALIZADA"))</f>
        <v/>
      </c>
      <c r="AY4" s="229"/>
      <c r="AZ4" s="234"/>
      <c r="BA4" s="209" t="str">
        <f>IF(AND(OR(AY4="",AY4=0),OR(AY4="",AZ4=0)),"",IF(OR(AY4="",AY4=0),"DEFINIR PREÇO",IF(OR(AZ4="",AZ4=0),"DEFINIR FORNECEDOR",IF(OR(AY4&lt;&gt;"",AY4&lt;&gt;0),VLOOKUP(AZ4,#REF!,2,FALSE)))))</f>
        <v/>
      </c>
      <c r="BB4" s="217"/>
      <c r="BC4" s="218"/>
      <c r="BD4" s="197"/>
      <c r="BE4" s="195"/>
      <c r="BF4" s="196"/>
      <c r="BG4" s="194"/>
      <c r="BH4" s="194"/>
      <c r="BI4" s="194"/>
      <c r="BJ4" s="197"/>
      <c r="BQ4" s="213" t="s">
        <v>2002</v>
      </c>
    </row>
    <row r="5" spans="1:70" ht="30" x14ac:dyDescent="0.25">
      <c r="A5" s="44" t="s">
        <v>405</v>
      </c>
      <c r="B5" s="45" t="s">
        <v>195</v>
      </c>
      <c r="C5" s="45">
        <v>4</v>
      </c>
      <c r="D5" s="55" t="s">
        <v>184</v>
      </c>
      <c r="E5" s="45" t="s">
        <v>31</v>
      </c>
      <c r="F5" s="46" t="str">
        <f>J5</f>
        <v>DEFINIR CRITÉRIO</v>
      </c>
      <c r="G5" s="47" t="str">
        <f>J5</f>
        <v>DEFINIR CRITÉRIO</v>
      </c>
      <c r="H5" s="240" t="s">
        <v>2000</v>
      </c>
      <c r="I5" s="240" t="s">
        <v>2001</v>
      </c>
      <c r="J5" s="242" t="str">
        <f>IFERROR(IF(N5&lt;&gt;"",M5,IF(I5 = PARÂMETROS!$B$5,Q5, IF(I5 = PARÂMETROS!$B$6,R5,IF(I5 = PARÂMETROS!$B$7,S5,IF(I5 = PARÂMETROS!$B$8, T5,"DEFINIR CRITÉRIO"))))),"SEM PREÇO")</f>
        <v>DEFINIR CRITÉRIO</v>
      </c>
      <c r="K5" s="241" t="str">
        <f t="shared" ref="K5:K68" si="0">IF(OR(J5="", J5="DEFINIR VALOR", J5="DEFINIR CRITÉRIO"),"",IFERROR(_xlfn.STDEV.P(AA5,AG5,AM5,AS5,AY5,BE5),0))</f>
        <v/>
      </c>
      <c r="L5" s="238" t="str">
        <f t="shared" ref="L5:L68" si="1">IF(OR(P5="", P5="DEFINIR VALOR", P5="DEFINIR CRITÉRIO",K5 = ""),"", IF(P5 = 0, "", K5/P5))</f>
        <v/>
      </c>
      <c r="M5" s="51"/>
      <c r="N5" s="52"/>
      <c r="O5" s="53"/>
      <c r="P5" s="235">
        <f t="shared" ref="P5:P68" si="2">IFERROR(AVERAGE(AA5,AG5,AM5,AS5,AY5,BE5),0)</f>
        <v>3.3200000000000003</v>
      </c>
      <c r="Q5" s="236">
        <f t="shared" ref="Q5:Q68" si="3">IFERROR(AVERAGE(U5:Z5),0)</f>
        <v>0</v>
      </c>
      <c r="R5" s="236">
        <f t="shared" ref="R5:R68" si="4">IFERROR(MEDIAN(U5:Z5),0)</f>
        <v>0</v>
      </c>
      <c r="S5" s="236">
        <f t="shared" ref="S5:S68" si="5">IFERROR(SMALL(U5:Z5,1),0)</f>
        <v>0</v>
      </c>
      <c r="T5" s="236">
        <f t="shared" ref="T5:T68" si="6">IFERROR(_xlfn.MODE.SNGL(U5:Z5),0)</f>
        <v>0</v>
      </c>
      <c r="U5" s="237" t="e">
        <f>IF(AA5 = "", "", IF(OR($H5 = PARÂMETROS!$E$5, $H5 = ""), AA5, IF(OR(AA5 &lt; (1-VLOOKUP($H5,PARÂMETROS!$E:$F,2,FALSE))*$P5, AA5 &gt; (1+VLOOKUP($H5,PARÂMETROS!$E:$F,2,FALSE))*$P5),"",AA5)))</f>
        <v>#N/A</v>
      </c>
      <c r="V5" s="237" t="e">
        <f>IF(AG5 = "", "", IF(OR($H5 = PARÂMETROS!$E$5, $H5 = ""), AG5, IF(OR(AG5 &lt; (1-VLOOKUP($H5,PARÂMETROS!$E:$F,2,FALSE))*$P10, AG5 &gt; (1+VLOOKUP($H5,PARÂMETROS!$E:$F,2,FALSE))*$P5),"",AG5)))</f>
        <v>#N/A</v>
      </c>
      <c r="W5" s="237" t="e">
        <f>IF(AM5 = "", "", IF(OR($H5 = PARÂMETROS!$E$5, $H5 = ""), AM5, IF(OR(AM5 &lt; (1-VLOOKUP($H5,PARÂMETROS!$E:$F,2,FALSE))*$P5, AM5 &gt; (1+VLOOKUP($H5,PARÂMETROS!$E:$F,2,FALSE))*$P5),"",AM5)))</f>
        <v>#N/A</v>
      </c>
      <c r="X5" s="237" t="e">
        <f>IF(AS5 = "", "", IF(OR($H5 = PARÂMETROS!$E$5, $H5 = ""), AS5, IF(OR(AS5 &lt; (1-VLOOKUP($H5,PARÂMETROS!$E:$F,2,FALSE))*$P5, AS5 &gt; (1+VLOOKUP($H5,PARÂMETROS!$E:$F,2,FALSE))*$P5),"",AS5)))</f>
        <v>#N/A</v>
      </c>
      <c r="Y5" s="237" t="str">
        <f>IF(AY5 = "", "", IF(OR($H5 = PARÂMETROS!$E$5, $H5 = ""), AY5, IF(OR(AY5 &lt; (1-VLOOKUP($H5,PARÂMETROS!$E:$F,2,FALSE))*$P5, AY5 &gt; (1+VLOOKUP($H5,PARÂMETROS!$E:$F,2,FALSE))*$P5),"",AY5)))</f>
        <v/>
      </c>
      <c r="Z5" s="237" t="str">
        <f>IF(BE5 = "", "", IF(OR($H5 = PARÂMETROS!$E$5, $H5 = ""), BE5, IF(OR(BE5 &lt; (1-VLOOKUP($H5,PARÂMETROS!$E:$F,2,FALSE))*$P5, BE5 &gt; (1+VLOOKUP($H5,PARÂMETROS!$E:$F,2,FALSE))*$P5),"",BE5)))</f>
        <v/>
      </c>
      <c r="AA5" s="207">
        <v>3.99</v>
      </c>
      <c r="AB5" s="205">
        <v>304</v>
      </c>
      <c r="AC5" s="206" t="e">
        <f>IF(AND(OR(AA5="",AA5=0),OR(AA5="",AB5=0)),"",IF(OR(AA5="",AA5=0),"DEFINIR PREÇO",IF(OR(AB5="",AB5=0),"DEFINIR FORNECEDOR",IF(OR(AA5&lt;&gt;"",AA5&lt;&gt;0),VLOOKUP(AB5,#REF!,2,FALSE)))))</f>
        <v>#REF!</v>
      </c>
      <c r="AD5" s="217" t="s">
        <v>1977</v>
      </c>
      <c r="AE5" s="218">
        <v>44935</v>
      </c>
      <c r="AF5" s="220" t="str">
        <f t="shared" ref="AF5:AF69" ca="1" si="7">IF(AE5 = "", "", IF(AE5 + 180 &gt; TODAY(),"VIGENTE", "DESATUALIZADA"))</f>
        <v>DESATUALIZADA</v>
      </c>
      <c r="AG5" s="229">
        <v>1.95</v>
      </c>
      <c r="AH5" s="231">
        <v>1513</v>
      </c>
      <c r="AI5" s="206" t="e">
        <f>IF(AND(OR(AG5="",AG5=0),OR(AG5="",AH5=0)),"",IF(OR(AG5="",AG5=0),"DEFINIR PREÇO",IF(OR(AH5="",AH5=0),"DEFINIR FORNECEDOR",IF(OR(AG5&lt;&gt;"",AG5&lt;&gt;0),VLOOKUP(AH5,#REF!,2,FALSE)))))</f>
        <v>#REF!</v>
      </c>
      <c r="AJ5" s="217" t="s">
        <v>1977</v>
      </c>
      <c r="AK5" s="218">
        <v>44935</v>
      </c>
      <c r="AL5" s="220" t="str">
        <f t="shared" ref="AL5:AL69" ca="1" si="8">IF(AK5 = "", "", IF(AK5 + 180 &gt; TODAY(),"VIGENTE", "DESATUALIZADA"))</f>
        <v>DESATUALIZADA</v>
      </c>
      <c r="AM5" s="229">
        <v>3.84</v>
      </c>
      <c r="AN5" s="231">
        <v>1512</v>
      </c>
      <c r="AO5" s="206" t="e">
        <f>IF(AND(OR(AM5="",AM5=0),OR(AM5="",AN5=0)),"",IF(OR(AM5="",AM5=0),"DEFINIR PREÇO",IF(OR(AN5="",AN5=0),"DEFINIR FORNECEDOR",IF(OR(AM5&lt;&gt;"",AM5&lt;&gt;0),VLOOKUP(AN5,#REF!,2,FALSE)))))</f>
        <v>#REF!</v>
      </c>
      <c r="AP5" s="217" t="s">
        <v>1977</v>
      </c>
      <c r="AQ5" s="218">
        <v>44935</v>
      </c>
      <c r="AR5" s="220" t="str">
        <f t="shared" ref="AR5:AR69" ca="1" si="9">IF(AQ5 = "", "", IF(AQ5 + 180 &gt; TODAY(),"VIGENTE", "DESATUALIZADA"))</f>
        <v>DESATUALIZADA</v>
      </c>
      <c r="AS5" s="229">
        <v>3.5</v>
      </c>
      <c r="AT5" s="231">
        <v>2267</v>
      </c>
      <c r="AU5" s="191" t="e">
        <f>IF(AND(OR(AS5="",AS5=0),OR(AS5="",AT5=0)),"",IF(OR(AS5="",AS5=0),"DEFINIR PREÇO",IF(OR(AT5="",AT5=0),"DEFINIR FORNECEDOR",IF(OR(AS5&lt;&gt;"",AS5&lt;&gt;0),VLOOKUP(AT5,#REF!,2,FALSE)))))</f>
        <v>#REF!</v>
      </c>
      <c r="AV5" s="219" t="s">
        <v>1978</v>
      </c>
      <c r="AW5" s="218">
        <v>44959</v>
      </c>
      <c r="AX5" s="220" t="str">
        <f t="shared" ref="AX5:AX69" ca="1" si="10">IF(AW5 = "", "", IF(AW5 + 180 &gt; TODAY(),"VIGENTE", "DESATUALIZADA"))</f>
        <v>DESATUALIZADA</v>
      </c>
      <c r="AY5" s="229"/>
      <c r="AZ5" s="234"/>
      <c r="BA5" s="209" t="str">
        <f>IF(AND(OR(AY5="",AY5=0),OR(AY5="",AZ5=0)),"",IF(OR(AY5="",AY5=0),"DEFINIR PREÇO",IF(OR(AZ5="",AZ5=0),"DEFINIR FORNECEDOR",IF(OR(AY5&lt;&gt;"",AY5&lt;&gt;0),VLOOKUP(AZ5,#REF!,2,FALSE)))))</f>
        <v/>
      </c>
      <c r="BB5" s="217"/>
      <c r="BC5" s="218"/>
      <c r="BD5" s="220" t="str">
        <f t="shared" ref="BD5:BD69" ca="1" si="11">IF(BC5 = "", "", IF(BC5 + 180 &gt; TODAY(),"VIGENTE", "DESATUALIZADA"))</f>
        <v/>
      </c>
      <c r="BE5" s="195"/>
      <c r="BF5" s="196"/>
      <c r="BG5" s="191"/>
      <c r="BH5" s="192"/>
      <c r="BI5" s="192"/>
      <c r="BJ5" s="193"/>
      <c r="BQ5" s="213" t="s">
        <v>2003</v>
      </c>
      <c r="BR5" s="213" t="s">
        <v>2000</v>
      </c>
    </row>
    <row r="6" spans="1:70" ht="30" x14ac:dyDescent="0.25">
      <c r="A6" s="44" t="s">
        <v>405</v>
      </c>
      <c r="B6" s="58" t="s">
        <v>196</v>
      </c>
      <c r="C6" s="45">
        <v>4</v>
      </c>
      <c r="D6" s="55" t="s">
        <v>185</v>
      </c>
      <c r="E6" s="45" t="s">
        <v>31</v>
      </c>
      <c r="F6" s="46" t="str">
        <f>J6</f>
        <v>DEFINIR CRITÉRIO</v>
      </c>
      <c r="G6" s="47" t="str">
        <f>J6</f>
        <v>DEFINIR CRITÉRIO</v>
      </c>
      <c r="H6" s="240" t="s">
        <v>2000</v>
      </c>
      <c r="I6" s="240" t="s">
        <v>2001</v>
      </c>
      <c r="J6" s="242" t="str">
        <f>IFERROR(IF(N6&lt;&gt;"",M6,IF(I6 = PARÂMETROS!$B$5,Q6, IF(I6 = PARÂMETROS!$B$6,R6,IF(I6 = PARÂMETROS!$B$7,S6,IF(I6 = PARÂMETROS!$B$8, T6,"DEFINIR CRITÉRIO"))))),"SEM PREÇO")</f>
        <v>DEFINIR CRITÉRIO</v>
      </c>
      <c r="K6" s="241" t="str">
        <f t="shared" si="0"/>
        <v/>
      </c>
      <c r="L6" s="238" t="str">
        <f t="shared" si="1"/>
        <v/>
      </c>
      <c r="M6" s="51"/>
      <c r="N6" s="52"/>
      <c r="O6" s="53"/>
      <c r="P6" s="235">
        <f t="shared" si="2"/>
        <v>84.56</v>
      </c>
      <c r="Q6" s="236">
        <f t="shared" si="3"/>
        <v>0</v>
      </c>
      <c r="R6" s="236">
        <f t="shared" si="4"/>
        <v>0</v>
      </c>
      <c r="S6" s="236">
        <f t="shared" si="5"/>
        <v>0</v>
      </c>
      <c r="T6" s="236">
        <f t="shared" si="6"/>
        <v>0</v>
      </c>
      <c r="U6" s="237" t="e">
        <f>IF(AA6 = "", "", IF(OR($H6 = PARÂMETROS!$E$5, $H6 = ""), AA6, IF(OR(AA6 &lt; (1-VLOOKUP($H6,PARÂMETROS!$E:$F,2,FALSE))*$P6, AA6 &gt; (1+VLOOKUP($H6,PARÂMETROS!$E:$F,2,FALSE))*$P6),"",AA6)))</f>
        <v>#N/A</v>
      </c>
      <c r="V6" s="237" t="str">
        <f>IF(AG6 = "", "", IF(OR($H6 = PARÂMETROS!$E$5, $H6 = ""), AG6, IF(OR(AG6 &lt; (1-VLOOKUP($H6,PARÂMETROS!$E:$F,2,FALSE))*$P11, AG6 &gt; (1+VLOOKUP($H6,PARÂMETROS!$E:$F,2,FALSE))*$P6),"",AG6)))</f>
        <v/>
      </c>
      <c r="W6" s="237" t="str">
        <f>IF(AM6 = "", "", IF(OR($H6 = PARÂMETROS!$E$5, $H6 = ""), AM6, IF(OR(AM6 &lt; (1-VLOOKUP($H6,PARÂMETROS!$E:$F,2,FALSE))*$P6, AM6 &gt; (1+VLOOKUP($H6,PARÂMETROS!$E:$F,2,FALSE))*$P6),"",AM6)))</f>
        <v/>
      </c>
      <c r="X6" s="237" t="str">
        <f>IF(AS6 = "", "", IF(OR($H6 = PARÂMETROS!$E$5, $H6 = ""), AS6, IF(OR(AS6 &lt; (1-VLOOKUP($H6,PARÂMETROS!$E:$F,2,FALSE))*$P6, AS6 &gt; (1+VLOOKUP($H6,PARÂMETROS!$E:$F,2,FALSE))*$P6),"",AS6)))</f>
        <v/>
      </c>
      <c r="Y6" s="237" t="str">
        <f>IF(AY6 = "", "", IF(OR($H6 = PARÂMETROS!$E$5, $H6 = ""), AY6, IF(OR(AY6 &lt; (1-VLOOKUP($H6,PARÂMETROS!$E:$F,2,FALSE))*$P6, AY6 &gt; (1+VLOOKUP($H6,PARÂMETROS!$E:$F,2,FALSE))*$P6),"",AY6)))</f>
        <v/>
      </c>
      <c r="Z6" s="237" t="str">
        <f>IF(BE6 = "", "", IF(OR($H6 = PARÂMETROS!$E$5, $H6 = ""), BE6, IF(OR(BE6 &lt; (1-VLOOKUP($H6,PARÂMETROS!$E:$F,2,FALSE))*$P6, BE6 &gt; (1+VLOOKUP($H6,PARÂMETROS!$E:$F,2,FALSE))*$P6),"",BE6)))</f>
        <v/>
      </c>
      <c r="AA6" s="207">
        <v>84.56</v>
      </c>
      <c r="AB6" s="208">
        <v>2267</v>
      </c>
      <c r="AC6" s="206" t="e">
        <f>IF(AND(OR(AA6="",AA6=0),OR(AA6="",AB6=0)),"",IF(OR(AA6="",AA6=0),"DEFINIR PREÇO",IF(OR(AB6="",AB6=0),"DEFINIR FORNECEDOR",IF(OR(AA6&lt;&gt;"",AA6&lt;&gt;0),VLOOKUP(AB6,#REF!,2,FALSE)))))</f>
        <v>#REF!</v>
      </c>
      <c r="AD6" s="219" t="s">
        <v>1978</v>
      </c>
      <c r="AE6" s="218">
        <v>44959</v>
      </c>
      <c r="AF6" s="220" t="str">
        <f t="shared" ca="1" si="7"/>
        <v>DESATUALIZADA</v>
      </c>
      <c r="AG6" s="229"/>
      <c r="AH6" s="231"/>
      <c r="AI6" s="206" t="str">
        <f>IF(AND(OR(AG6="",AG6=0),OR(AG6="",AH6=0)),"",IF(OR(AG6="",AG6=0),"DEFINIR PREÇO",IF(OR(AH6="",AH6=0),"DEFINIR FORNECEDOR",IF(OR(AG6&lt;&gt;"",AG6&lt;&gt;0),VLOOKUP(AH6,#REF!,2,FALSE)))))</f>
        <v/>
      </c>
      <c r="AJ6" s="217"/>
      <c r="AK6" s="218"/>
      <c r="AL6" s="220" t="str">
        <f t="shared" ca="1" si="8"/>
        <v/>
      </c>
      <c r="AM6" s="229"/>
      <c r="AN6" s="231"/>
      <c r="AO6" s="206" t="str">
        <f>IF(AND(OR(AM6="",AM6=0),OR(AM6="",AN6=0)),"",IF(OR(AM6="",AM6=0),"DEFINIR PREÇO",IF(OR(AN6="",AN6=0),"DEFINIR FORNECEDOR",IF(OR(AM6&lt;&gt;"",AM6&lt;&gt;0),VLOOKUP(AN6,#REF!,2,FALSE)))))</f>
        <v/>
      </c>
      <c r="AP6" s="217"/>
      <c r="AQ6" s="218"/>
      <c r="AR6" s="220" t="str">
        <f t="shared" ca="1" si="9"/>
        <v/>
      </c>
      <c r="AS6" s="229"/>
      <c r="AT6" s="231"/>
      <c r="AU6" s="191" t="str">
        <f>IF(AND(OR(AS6="",AS6=0),OR(AS6="",AT6=0)),"",IF(OR(AS6="",AS6=0),"DEFINIR PREÇO",IF(OR(AT6="",AT6=0),"DEFINIR FORNECEDOR",IF(OR(AS6&lt;&gt;"",AS6&lt;&gt;0),VLOOKUP(AT6,#REF!,2,FALSE)))))</f>
        <v/>
      </c>
      <c r="AV6" s="217"/>
      <c r="AW6" s="218"/>
      <c r="AX6" s="220" t="str">
        <f t="shared" ca="1" si="10"/>
        <v/>
      </c>
      <c r="AY6" s="229"/>
      <c r="AZ6" s="234"/>
      <c r="BA6" s="209" t="str">
        <f>IF(AND(OR(AY6="",AY6=0),OR(AY6="",AZ6=0)),"",IF(OR(AY6="",AY6=0),"DEFINIR PREÇO",IF(OR(AZ6="",AZ6=0),"DEFINIR FORNECEDOR",IF(OR(AY6&lt;&gt;"",AY6&lt;&gt;0),VLOOKUP(AZ6,#REF!,2,FALSE)))))</f>
        <v/>
      </c>
      <c r="BB6" s="217"/>
      <c r="BC6" s="218"/>
      <c r="BD6" s="220" t="str">
        <f t="shared" ca="1" si="11"/>
        <v/>
      </c>
      <c r="BE6" s="195"/>
      <c r="BF6" s="196"/>
      <c r="BG6" s="194"/>
      <c r="BH6" s="194"/>
      <c r="BI6" s="194"/>
      <c r="BJ6" s="197"/>
    </row>
    <row r="7" spans="1:70" ht="30" x14ac:dyDescent="0.25">
      <c r="A7" s="44" t="s">
        <v>405</v>
      </c>
      <c r="B7" s="58" t="s">
        <v>217</v>
      </c>
      <c r="C7" s="45">
        <v>4</v>
      </c>
      <c r="D7" s="55" t="s">
        <v>201</v>
      </c>
      <c r="E7" s="45" t="s">
        <v>20</v>
      </c>
      <c r="F7" s="46" t="str">
        <f>J7</f>
        <v>DEFINIR CRITÉRIO</v>
      </c>
      <c r="G7" s="47" t="str">
        <f>J7</f>
        <v>DEFINIR CRITÉRIO</v>
      </c>
      <c r="H7" s="240" t="s">
        <v>2000</v>
      </c>
      <c r="I7" s="240" t="s">
        <v>2002</v>
      </c>
      <c r="J7" s="242" t="str">
        <f>IFERROR(IF(N7&lt;&gt;"",M7,IF(I7 = PARÂMETROS!$B$5,Q7, IF(I7 = PARÂMETROS!$B$6,R7,IF(I7 = PARÂMETROS!$B$7,S7,IF(I7 = PARÂMETROS!$B$8, T7,"DEFINIR CRITÉRIO"))))),"SEM PREÇO")</f>
        <v>DEFINIR CRITÉRIO</v>
      </c>
      <c r="K7" s="241" t="str">
        <f t="shared" si="0"/>
        <v/>
      </c>
      <c r="L7" s="238" t="str">
        <f t="shared" si="1"/>
        <v/>
      </c>
      <c r="M7" s="51"/>
      <c r="N7" s="52"/>
      <c r="O7" s="53"/>
      <c r="P7" s="235">
        <f t="shared" si="2"/>
        <v>1270.2222222222222</v>
      </c>
      <c r="Q7" s="236">
        <f t="shared" si="3"/>
        <v>0</v>
      </c>
      <c r="R7" s="236">
        <f t="shared" si="4"/>
        <v>0</v>
      </c>
      <c r="S7" s="236">
        <f t="shared" si="5"/>
        <v>0</v>
      </c>
      <c r="T7" s="236">
        <f t="shared" si="6"/>
        <v>0</v>
      </c>
      <c r="U7" s="237" t="e">
        <f>IF(AA7 = "", "", IF(OR($H7 = PARÂMETROS!$E$5, $H7 = ""), AA7, IF(OR(AA7 &lt; (1-VLOOKUP($H7,PARÂMETROS!$E:$F,2,FALSE))*$P7, AA7 &gt; (1+VLOOKUP($H7,PARÂMETROS!$E:$F,2,FALSE))*$P7),"",AA7)))</f>
        <v>#N/A</v>
      </c>
      <c r="V7" s="237" t="e">
        <f>IF(AG7 = "", "", IF(OR($H7 = PARÂMETROS!$E$5, $H7 = ""), AG7, IF(OR(AG7 &lt; (1-VLOOKUP($H7,PARÂMETROS!$E:$F,2,FALSE))*$P12, AG7 &gt; (1+VLOOKUP($H7,PARÂMETROS!$E:$F,2,FALSE))*$P7),"",AG7)))</f>
        <v>#N/A</v>
      </c>
      <c r="W7" s="237" t="e">
        <f>IF(AM7 = "", "", IF(OR($H7 = PARÂMETROS!$E$5, $H7 = ""), AM7, IF(OR(AM7 &lt; (1-VLOOKUP($H7,PARÂMETROS!$E:$F,2,FALSE))*$P7, AM7 &gt; (1+VLOOKUP($H7,PARÂMETROS!$E:$F,2,FALSE))*$P7),"",AM7)))</f>
        <v>#N/A</v>
      </c>
      <c r="X7" s="237" t="str">
        <f>IF(AS7 = "", "", IF(OR($H7 = PARÂMETROS!$E$5, $H7 = ""), AS7, IF(OR(AS7 &lt; (1-VLOOKUP($H7,PARÂMETROS!$E:$F,2,FALSE))*$P7, AS7 &gt; (1+VLOOKUP($H7,PARÂMETROS!$E:$F,2,FALSE))*$P7),"",AS7)))</f>
        <v/>
      </c>
      <c r="Y7" s="237" t="str">
        <f>IF(AY7 = "", "", IF(OR($H7 = PARÂMETROS!$E$5, $H7 = ""), AY7, IF(OR(AY7 &lt; (1-VLOOKUP($H7,PARÂMETROS!$E:$F,2,FALSE))*$P7, AY7 &gt; (1+VLOOKUP($H7,PARÂMETROS!$E:$F,2,FALSE))*$P7),"",AY7)))</f>
        <v/>
      </c>
      <c r="Z7" s="237" t="str">
        <f>IF(BE7 = "", "", IF(OR($H7 = PARÂMETROS!$E$5, $H7 = ""), BE7, IF(OR(BE7 &lt; (1-VLOOKUP($H7,PARÂMETROS!$E:$F,2,FALSE))*$P7, BE7 &gt; (1+VLOOKUP($H7,PARÂMETROS!$E:$F,2,FALSE))*$P7),"",BE7)))</f>
        <v/>
      </c>
      <c r="AA7" s="207">
        <v>1526</v>
      </c>
      <c r="AB7" s="205">
        <v>124</v>
      </c>
      <c r="AC7" s="206" t="e">
        <f>IF(AND(OR(AA7="",AA7=0),OR(AA7="",AB7=0)),"",IF(OR(AA7="",AA7=0),"DEFINIR PREÇO",IF(OR(AB7="",AB7=0),"DEFINIR FORNECEDOR",IF(OR(AA7&lt;&gt;"",AA7&lt;&gt;0),VLOOKUP(AB7,#REF!,2,FALSE)))))</f>
        <v>#REF!</v>
      </c>
      <c r="AD7" s="217" t="s">
        <v>1979</v>
      </c>
      <c r="AE7" s="218">
        <v>44945</v>
      </c>
      <c r="AF7" s="220" t="str">
        <f t="shared" ca="1" si="7"/>
        <v>DESATUALIZADA</v>
      </c>
      <c r="AG7" s="230">
        <v>1650</v>
      </c>
      <c r="AH7" s="231">
        <v>692</v>
      </c>
      <c r="AI7" s="206" t="e">
        <f>IF(AND(OR(AG7="",AG7=0),OR(AG7="",AH7=0)),"",IF(OR(AG7="",AG7=0),"DEFINIR PREÇO",IF(OR(AH7="",AH7=0),"DEFINIR FORNECEDOR",IF(OR(AG7&lt;&gt;"",AG7&lt;&gt;0),VLOOKUP(AH7,#REF!,2,FALSE)))))</f>
        <v>#REF!</v>
      </c>
      <c r="AJ7" s="217" t="s">
        <v>2013</v>
      </c>
      <c r="AK7" s="218">
        <v>44952</v>
      </c>
      <c r="AL7" s="220" t="str">
        <f t="shared" ca="1" si="8"/>
        <v>DESATUALIZADA</v>
      </c>
      <c r="AM7" s="230">
        <f>1904/3</f>
        <v>634.66666666666663</v>
      </c>
      <c r="AN7" s="231">
        <v>6</v>
      </c>
      <c r="AO7" s="206" t="e">
        <f>IF(AND(OR(AM7="",AM7=0),OR(AM7="",AN7=0)),"",IF(OR(AM7="",AM7=0),"DEFINIR PREÇO",IF(OR(AN7="",AN7=0),"DEFINIR FORNECEDOR",IF(OR(AM7&lt;&gt;"",AM7&lt;&gt;0),VLOOKUP(AN7,#REF!,2,FALSE)))))</f>
        <v>#REF!</v>
      </c>
      <c r="AP7" s="217" t="s">
        <v>2017</v>
      </c>
      <c r="AQ7" s="218">
        <v>44945</v>
      </c>
      <c r="AR7" s="220" t="str">
        <f t="shared" ca="1" si="9"/>
        <v>DESATUALIZADA</v>
      </c>
      <c r="AS7" s="230"/>
      <c r="AT7" s="231"/>
      <c r="AU7" s="191" t="str">
        <f>IF(AND(OR(AS7="",AS7=0),OR(AS7="",AT7=0)),"",IF(OR(AS7="",AS7=0),"DEFINIR PREÇO",IF(OR(AT7="",AT7=0),"DEFINIR FORNECEDOR",IF(OR(AS7&lt;&gt;"",AS7&lt;&gt;0),VLOOKUP(AT7,#REF!,2,FALSE)))))</f>
        <v/>
      </c>
      <c r="AV7" s="217"/>
      <c r="AW7" s="218"/>
      <c r="AX7" s="220" t="str">
        <f t="shared" ca="1" si="10"/>
        <v/>
      </c>
      <c r="AY7" s="229"/>
      <c r="AZ7" s="234"/>
      <c r="BA7" s="209" t="str">
        <f>IF(AND(OR(AY7="",AY7=0),OR(AY7="",AZ7=0)),"",IF(OR(AY7="",AY7=0),"DEFINIR PREÇO",IF(OR(AZ7="",AZ7=0),"DEFINIR FORNECEDOR",IF(OR(AY7&lt;&gt;"",AY7&lt;&gt;0),VLOOKUP(AZ7,#REF!,2,FALSE)))))</f>
        <v/>
      </c>
      <c r="BB7" s="217"/>
      <c r="BC7" s="218"/>
      <c r="BD7" s="220" t="str">
        <f t="shared" ca="1" si="11"/>
        <v/>
      </c>
      <c r="BE7" s="195"/>
      <c r="BF7" s="196"/>
      <c r="BG7" s="194"/>
      <c r="BH7" s="194"/>
      <c r="BI7" s="194"/>
      <c r="BJ7" s="197"/>
    </row>
    <row r="8" spans="1:70" ht="30" x14ac:dyDescent="0.25">
      <c r="A8" s="44" t="s">
        <v>405</v>
      </c>
      <c r="B8" s="58" t="s">
        <v>219</v>
      </c>
      <c r="C8" s="45">
        <v>4</v>
      </c>
      <c r="D8" s="55" t="s">
        <v>202</v>
      </c>
      <c r="E8" s="45" t="s">
        <v>20</v>
      </c>
      <c r="F8" s="46" t="str">
        <f t="shared" ref="F8:F26" si="12">J8</f>
        <v>DEFINIR CRITÉRIO</v>
      </c>
      <c r="G8" s="47" t="str">
        <f t="shared" ref="G8:G30" si="13">J8</f>
        <v>DEFINIR CRITÉRIO</v>
      </c>
      <c r="H8" s="240" t="s">
        <v>2000</v>
      </c>
      <c r="I8" s="240" t="s">
        <v>2002</v>
      </c>
      <c r="J8" s="242" t="str">
        <f>IFERROR(IF(N8&lt;&gt;"",M8,IF(I8 = PARÂMETROS!$B$5,Q8, IF(I8 = PARÂMETROS!$B$6,R8,IF(I8 = PARÂMETROS!$B$7,S8,IF(I8 = PARÂMETROS!$B$8, T8,"DEFINIR CRITÉRIO"))))),"SEM PREÇO")</f>
        <v>DEFINIR CRITÉRIO</v>
      </c>
      <c r="K8" s="241" t="str">
        <f t="shared" si="0"/>
        <v/>
      </c>
      <c r="L8" s="238" t="str">
        <f t="shared" si="1"/>
        <v/>
      </c>
      <c r="M8" s="51"/>
      <c r="N8" s="52"/>
      <c r="O8" s="53"/>
      <c r="P8" s="235">
        <f t="shared" si="2"/>
        <v>1577</v>
      </c>
      <c r="Q8" s="236">
        <f t="shared" si="3"/>
        <v>0</v>
      </c>
      <c r="R8" s="236">
        <f t="shared" si="4"/>
        <v>0</v>
      </c>
      <c r="S8" s="236">
        <f t="shared" si="5"/>
        <v>0</v>
      </c>
      <c r="T8" s="236">
        <f t="shared" si="6"/>
        <v>0</v>
      </c>
      <c r="U8" s="237" t="e">
        <f>IF(AA8 = "", "", IF(OR($H8 = PARÂMETROS!$E$5, $H8 = ""), AA8, IF(OR(AA8 &lt; (1-VLOOKUP($H8,PARÂMETROS!$E:$F,2,FALSE))*$P8, AA8 &gt; (1+VLOOKUP($H8,PARÂMETROS!$E:$F,2,FALSE))*$P8),"",AA8)))</f>
        <v>#N/A</v>
      </c>
      <c r="V8" s="237" t="e">
        <f>IF(AG8 = "", "", IF(OR($H8 = PARÂMETROS!$E$5, $H8 = ""), AG8, IF(OR(AG8 &lt; (1-VLOOKUP($H8,PARÂMETROS!$E:$F,2,FALSE))*$P13, AG8 &gt; (1+VLOOKUP($H8,PARÂMETROS!$E:$F,2,FALSE))*$P8),"",AG8)))</f>
        <v>#N/A</v>
      </c>
      <c r="W8" s="237" t="e">
        <f>IF(AM8 = "", "", IF(OR($H8 = PARÂMETROS!$E$5, $H8 = ""), AM8, IF(OR(AM8 &lt; (1-VLOOKUP($H8,PARÂMETROS!$E:$F,2,FALSE))*$P8, AM8 &gt; (1+VLOOKUP($H8,PARÂMETROS!$E:$F,2,FALSE))*$P8),"",AM8)))</f>
        <v>#N/A</v>
      </c>
      <c r="X8" s="237" t="str">
        <f>IF(AS8 = "", "", IF(OR($H8 = PARÂMETROS!$E$5, $H8 = ""), AS8, IF(OR(AS8 &lt; (1-VLOOKUP($H8,PARÂMETROS!$E:$F,2,FALSE))*$P8, AS8 &gt; (1+VLOOKUP($H8,PARÂMETROS!$E:$F,2,FALSE))*$P8),"",AS8)))</f>
        <v/>
      </c>
      <c r="Y8" s="237" t="str">
        <f>IF(AY8 = "", "", IF(OR($H8 = PARÂMETROS!$E$5, $H8 = ""), AY8, IF(OR(AY8 &lt; (1-VLOOKUP($H8,PARÂMETROS!$E:$F,2,FALSE))*$P8, AY8 &gt; (1+VLOOKUP($H8,PARÂMETROS!$E:$F,2,FALSE))*$P8),"",AY8)))</f>
        <v/>
      </c>
      <c r="Z8" s="237" t="str">
        <f>IF(BE8 = "", "", IF(OR($H8 = PARÂMETROS!$E$5, $H8 = ""), BE8, IF(OR(BE8 &lt; (1-VLOOKUP($H8,PARÂMETROS!$E:$F,2,FALSE))*$P8, BE8 &gt; (1+VLOOKUP($H8,PARÂMETROS!$E:$F,2,FALSE))*$P8),"",BE8)))</f>
        <v/>
      </c>
      <c r="AA8" s="207">
        <v>1885</v>
      </c>
      <c r="AB8" s="205">
        <v>124</v>
      </c>
      <c r="AC8" s="206" t="e">
        <f>IF(AND(OR(AA8="",AA8=0),OR(AA8="",AB8=0)),"",IF(OR(AA8="",AA8=0),"DEFINIR PREÇO",IF(OR(AB8="",AB8=0),"DEFINIR FORNECEDOR",IF(OR(AA8&lt;&gt;"",AA8&lt;&gt;0),VLOOKUP(AB8,#REF!,2,FALSE)))))</f>
        <v>#REF!</v>
      </c>
      <c r="AD8" s="217" t="s">
        <v>1979</v>
      </c>
      <c r="AE8" s="218">
        <v>44945</v>
      </c>
      <c r="AF8" s="220" t="str">
        <f t="shared" ca="1" si="7"/>
        <v>DESATUALIZADA</v>
      </c>
      <c r="AG8" s="230">
        <v>2050</v>
      </c>
      <c r="AH8" s="231">
        <v>692</v>
      </c>
      <c r="AI8" s="206" t="e">
        <f>IF(AND(OR(AG8="",AG8=0),OR(AG8="",AH8=0)),"",IF(OR(AG8="",AG8=0),"DEFINIR PREÇO",IF(OR(AH8="",AH8=0),"DEFINIR FORNECEDOR",IF(OR(AG8&lt;&gt;"",AG8&lt;&gt;0),VLOOKUP(AH8,#REF!,2,FALSE)))))</f>
        <v>#REF!</v>
      </c>
      <c r="AJ8" s="217" t="s">
        <v>2013</v>
      </c>
      <c r="AK8" s="218">
        <v>44952</v>
      </c>
      <c r="AL8" s="220" t="str">
        <f t="shared" ca="1" si="8"/>
        <v>DESATUALIZADA</v>
      </c>
      <c r="AM8" s="229">
        <f>1592/2</f>
        <v>796</v>
      </c>
      <c r="AN8" s="231">
        <v>6</v>
      </c>
      <c r="AO8" s="206" t="e">
        <f>IF(AND(OR(AM8="",AM8=0),OR(AM8="",AN8=0)),"",IF(OR(AM8="",AM8=0),"DEFINIR PREÇO",IF(OR(AN8="",AN8=0),"DEFINIR FORNECEDOR",IF(OR(AM8&lt;&gt;"",AM8&lt;&gt;0),VLOOKUP(AN8,#REF!,2,FALSE)))))</f>
        <v>#REF!</v>
      </c>
      <c r="AP8" s="217" t="s">
        <v>2017</v>
      </c>
      <c r="AQ8" s="218">
        <v>44945</v>
      </c>
      <c r="AR8" s="220" t="str">
        <f t="shared" ca="1" si="9"/>
        <v>DESATUALIZADA</v>
      </c>
      <c r="AS8" s="229"/>
      <c r="AT8" s="231"/>
      <c r="AU8" s="191" t="str">
        <f>IF(AND(OR(AS8="",AS8=0),OR(AS8="",AT8=0)),"",IF(OR(AS8="",AS8=0),"DEFINIR PREÇO",IF(OR(AT8="",AT8=0),"DEFINIR FORNECEDOR",IF(OR(AS8&lt;&gt;"",AS8&lt;&gt;0),VLOOKUP(AT8,#REF!,2,FALSE)))))</f>
        <v/>
      </c>
      <c r="AV8" s="217"/>
      <c r="AW8" s="218"/>
      <c r="AX8" s="220" t="str">
        <f t="shared" ca="1" si="10"/>
        <v/>
      </c>
      <c r="AY8" s="229"/>
      <c r="AZ8" s="234"/>
      <c r="BA8" s="209" t="str">
        <f>IF(AND(OR(AY8="",AY8=0),OR(AY8="",AZ8=0)),"",IF(OR(AY8="",AY8=0),"DEFINIR PREÇO",IF(OR(AZ8="",AZ8=0),"DEFINIR FORNECEDOR",IF(OR(AY8&lt;&gt;"",AY8&lt;&gt;0),VLOOKUP(AZ8,#REF!,2,FALSE)))))</f>
        <v/>
      </c>
      <c r="BB8" s="217"/>
      <c r="BC8" s="218"/>
      <c r="BD8" s="220" t="str">
        <f t="shared" ca="1" si="11"/>
        <v/>
      </c>
      <c r="BE8" s="195"/>
      <c r="BF8" s="196"/>
      <c r="BG8" s="194"/>
      <c r="BH8" s="194"/>
      <c r="BI8" s="194"/>
      <c r="BJ8" s="197"/>
    </row>
    <row r="9" spans="1:70" ht="30" x14ac:dyDescent="0.25">
      <c r="A9" s="44" t="s">
        <v>405</v>
      </c>
      <c r="B9" s="58" t="s">
        <v>221</v>
      </c>
      <c r="C9" s="45">
        <v>4</v>
      </c>
      <c r="D9" s="55" t="s">
        <v>203</v>
      </c>
      <c r="E9" s="45" t="s">
        <v>20</v>
      </c>
      <c r="F9" s="46" t="str">
        <f t="shared" si="12"/>
        <v>DEFINIR CRITÉRIO</v>
      </c>
      <c r="G9" s="47" t="str">
        <f t="shared" si="13"/>
        <v>DEFINIR CRITÉRIO</v>
      </c>
      <c r="H9" s="240" t="s">
        <v>2000</v>
      </c>
      <c r="I9" s="240" t="s">
        <v>2002</v>
      </c>
      <c r="J9" s="242" t="str">
        <f>IFERROR(IF(N9&lt;&gt;"",M9,IF(I9 = PARÂMETROS!$B$5,Q9, IF(I9 = PARÂMETROS!$B$6,R9,IF(I9 = PARÂMETROS!$B$7,S9,IF(I9 = PARÂMETROS!$B$8, T9,"DEFINIR CRITÉRIO"))))),"SEM PREÇO")</f>
        <v>DEFINIR CRITÉRIO</v>
      </c>
      <c r="K9" s="241" t="str">
        <f t="shared" si="0"/>
        <v/>
      </c>
      <c r="L9" s="238" t="str">
        <f t="shared" si="1"/>
        <v/>
      </c>
      <c r="M9" s="51"/>
      <c r="N9" s="52"/>
      <c r="O9" s="53"/>
      <c r="P9" s="235">
        <f t="shared" si="2"/>
        <v>1891.8333333333333</v>
      </c>
      <c r="Q9" s="236">
        <f t="shared" si="3"/>
        <v>0</v>
      </c>
      <c r="R9" s="236">
        <f t="shared" si="4"/>
        <v>0</v>
      </c>
      <c r="S9" s="236">
        <f t="shared" si="5"/>
        <v>0</v>
      </c>
      <c r="T9" s="236">
        <f t="shared" si="6"/>
        <v>0</v>
      </c>
      <c r="U9" s="237" t="e">
        <f>IF(AA9 = "", "", IF(OR($H9 = PARÂMETROS!$E$5, $H9 = ""), AA9, IF(OR(AA9 &lt; (1-VLOOKUP($H9,PARÂMETROS!$E:$F,2,FALSE))*$P9, AA9 &gt; (1+VLOOKUP($H9,PARÂMETROS!$E:$F,2,FALSE))*$P9),"",AA9)))</f>
        <v>#N/A</v>
      </c>
      <c r="V9" s="237" t="e">
        <f>IF(AG9 = "", "", IF(OR($H9 = PARÂMETROS!$E$5, $H9 = ""), AG9, IF(OR(AG9 &lt; (1-VLOOKUP($H9,PARÂMETROS!$E:$F,2,FALSE))*$P14, AG9 &gt; (1+VLOOKUP($H9,PARÂMETROS!$E:$F,2,FALSE))*$P9),"",AG9)))</f>
        <v>#N/A</v>
      </c>
      <c r="W9" s="237" t="e">
        <f>IF(AM9 = "", "", IF(OR($H9 = PARÂMETROS!$E$5, $H9 = ""), AM9, IF(OR(AM9 &lt; (1-VLOOKUP($H9,PARÂMETROS!$E:$F,2,FALSE))*$P9, AM9 &gt; (1+VLOOKUP($H9,PARÂMETROS!$E:$F,2,FALSE))*$P9),"",AM9)))</f>
        <v>#N/A</v>
      </c>
      <c r="X9" s="237" t="str">
        <f>IF(AS9 = "", "", IF(OR($H9 = PARÂMETROS!$E$5, $H9 = ""), AS9, IF(OR(AS9 &lt; (1-VLOOKUP($H9,PARÂMETROS!$E:$F,2,FALSE))*$P9, AS9 &gt; (1+VLOOKUP($H9,PARÂMETROS!$E:$F,2,FALSE))*$P9),"",AS9)))</f>
        <v/>
      </c>
      <c r="Y9" s="237" t="str">
        <f>IF(AY9 = "", "", IF(OR($H9 = PARÂMETROS!$E$5, $H9 = ""), AY9, IF(OR(AY9 &lt; (1-VLOOKUP($H9,PARÂMETROS!$E:$F,2,FALSE))*$P9, AY9 &gt; (1+VLOOKUP($H9,PARÂMETROS!$E:$F,2,FALSE))*$P9),"",AY9)))</f>
        <v/>
      </c>
      <c r="Z9" s="237" t="str">
        <f>IF(BE9 = "", "", IF(OR($H9 = PARÂMETROS!$E$5, $H9 = ""), BE9, IF(OR(BE9 &lt; (1-VLOOKUP($H9,PARÂMETROS!$E:$F,2,FALSE))*$P9, BE9 &gt; (1+VLOOKUP($H9,PARÂMETROS!$E:$F,2,FALSE))*$P9),"",BE9)))</f>
        <v/>
      </c>
      <c r="AA9" s="207">
        <v>2230</v>
      </c>
      <c r="AB9" s="205">
        <v>124</v>
      </c>
      <c r="AC9" s="206" t="e">
        <f>IF(AND(OR(AA9="",AA9=0),OR(AA9="",AB9=0)),"",IF(OR(AA9="",AA9=0),"DEFINIR PREÇO",IF(OR(AB9="",AB9=0),"DEFINIR FORNECEDOR",IF(OR(AA9&lt;&gt;"",AA9&lt;&gt;0),VLOOKUP(AB9,#REF!,2,FALSE)))))</f>
        <v>#REF!</v>
      </c>
      <c r="AD9" s="217" t="s">
        <v>1979</v>
      </c>
      <c r="AE9" s="218">
        <v>44945</v>
      </c>
      <c r="AF9" s="220" t="str">
        <f t="shared" ca="1" si="7"/>
        <v>DESATUALIZADA</v>
      </c>
      <c r="AG9" s="230">
        <v>2500</v>
      </c>
      <c r="AH9" s="231">
        <v>692</v>
      </c>
      <c r="AI9" s="206" t="e">
        <f>IF(AND(OR(AG9="",AG9=0),OR(AG9="",AH9=0)),"",IF(OR(AG9="",AG9=0),"DEFINIR PREÇO",IF(OR(AH9="",AH9=0),"DEFINIR FORNECEDOR",IF(OR(AG9&lt;&gt;"",AG9&lt;&gt;0),VLOOKUP(AH9,#REF!,2,FALSE)))))</f>
        <v>#REF!</v>
      </c>
      <c r="AJ9" s="217" t="s">
        <v>2013</v>
      </c>
      <c r="AK9" s="218">
        <v>44952</v>
      </c>
      <c r="AL9" s="220" t="str">
        <f t="shared" ca="1" si="8"/>
        <v>DESATUALIZADA</v>
      </c>
      <c r="AM9" s="229">
        <f>3782/4</f>
        <v>945.5</v>
      </c>
      <c r="AN9" s="231">
        <v>6</v>
      </c>
      <c r="AO9" s="206" t="e">
        <f>IF(AND(OR(AM9="",AM9=0),OR(AM9="",AN9=0)),"",IF(OR(AM9="",AM9=0),"DEFINIR PREÇO",IF(OR(AN9="",AN9=0),"DEFINIR FORNECEDOR",IF(OR(AM9&lt;&gt;"",AM9&lt;&gt;0),VLOOKUP(AN9,#REF!,2,FALSE)))))</f>
        <v>#REF!</v>
      </c>
      <c r="AP9" s="217" t="s">
        <v>2017</v>
      </c>
      <c r="AQ9" s="218">
        <v>44945</v>
      </c>
      <c r="AR9" s="220" t="str">
        <f t="shared" ca="1" si="9"/>
        <v>DESATUALIZADA</v>
      </c>
      <c r="AS9" s="229"/>
      <c r="AT9" s="231"/>
      <c r="AU9" s="191" t="str">
        <f>IF(AND(OR(AS9="",AS9=0),OR(AS9="",AT9=0)),"",IF(OR(AS9="",AS9=0),"DEFINIR PREÇO",IF(OR(AT9="",AT9=0),"DEFINIR FORNECEDOR",IF(OR(AS9&lt;&gt;"",AS9&lt;&gt;0),VLOOKUP(AT9,#REF!,2,FALSE)))))</f>
        <v/>
      </c>
      <c r="AV9" s="217"/>
      <c r="AW9" s="218"/>
      <c r="AX9" s="220" t="str">
        <f t="shared" ca="1" si="10"/>
        <v/>
      </c>
      <c r="AY9" s="229"/>
      <c r="AZ9" s="234"/>
      <c r="BA9" s="209" t="str">
        <f>IF(AND(OR(AY9="",AY9=0),OR(AY9="",AZ9=0)),"",IF(OR(AY9="",AY9=0),"DEFINIR PREÇO",IF(OR(AZ9="",AZ9=0),"DEFINIR FORNECEDOR",IF(OR(AY9&lt;&gt;"",AY9&lt;&gt;0),VLOOKUP(AZ9,#REF!,2,FALSE)))))</f>
        <v/>
      </c>
      <c r="BB9" s="217"/>
      <c r="BC9" s="218"/>
      <c r="BD9" s="220" t="str">
        <f t="shared" ca="1" si="11"/>
        <v/>
      </c>
      <c r="BE9" s="195"/>
      <c r="BF9" s="196"/>
      <c r="BG9" s="194"/>
      <c r="BH9" s="194"/>
      <c r="BI9" s="194"/>
      <c r="BJ9" s="197"/>
    </row>
    <row r="10" spans="1:70" ht="30" x14ac:dyDescent="0.25">
      <c r="A10" s="44" t="s">
        <v>405</v>
      </c>
      <c r="B10" s="58" t="s">
        <v>223</v>
      </c>
      <c r="C10" s="45">
        <v>4</v>
      </c>
      <c r="D10" s="55" t="s">
        <v>204</v>
      </c>
      <c r="E10" s="45" t="s">
        <v>20</v>
      </c>
      <c r="F10" s="46" t="str">
        <f t="shared" si="12"/>
        <v>DEFINIR CRITÉRIO</v>
      </c>
      <c r="G10" s="47" t="str">
        <f t="shared" si="13"/>
        <v>DEFINIR CRITÉRIO</v>
      </c>
      <c r="H10" s="240" t="s">
        <v>2000</v>
      </c>
      <c r="I10" s="240" t="s">
        <v>2002</v>
      </c>
      <c r="J10" s="242" t="str">
        <f>IFERROR(IF(N10&lt;&gt;"",M10,IF(I10 = PARÂMETROS!$B$5,Q10, IF(I10 = PARÂMETROS!$B$6,R10,IF(I10 = PARÂMETROS!$B$7,S10,IF(I10 = PARÂMETROS!$B$8, T10,"DEFINIR CRITÉRIO"))))),"SEM PREÇO")</f>
        <v>DEFINIR CRITÉRIO</v>
      </c>
      <c r="K10" s="241" t="str">
        <f t="shared" si="0"/>
        <v/>
      </c>
      <c r="L10" s="238" t="str">
        <f t="shared" si="1"/>
        <v/>
      </c>
      <c r="M10" s="51"/>
      <c r="N10" s="52"/>
      <c r="O10" s="53"/>
      <c r="P10" s="235">
        <f t="shared" si="2"/>
        <v>2199.1428571428573</v>
      </c>
      <c r="Q10" s="236">
        <f t="shared" si="3"/>
        <v>0</v>
      </c>
      <c r="R10" s="236">
        <f t="shared" si="4"/>
        <v>0</v>
      </c>
      <c r="S10" s="236">
        <f t="shared" si="5"/>
        <v>0</v>
      </c>
      <c r="T10" s="236">
        <f t="shared" si="6"/>
        <v>0</v>
      </c>
      <c r="U10" s="237" t="e">
        <f>IF(AA10 = "", "", IF(OR($H10 = PARÂMETROS!$E$5, $H10 = ""), AA10, IF(OR(AA10 &lt; (1-VLOOKUP($H10,PARÂMETROS!$E:$F,2,FALSE))*$P10, AA10 &gt; (1+VLOOKUP($H10,PARÂMETROS!$E:$F,2,FALSE))*$P10),"",AA10)))</f>
        <v>#N/A</v>
      </c>
      <c r="V10" s="237" t="e">
        <f>IF(AG10 = "", "", IF(OR($H10 = PARÂMETROS!$E$5, $H10 = ""), AG10, IF(OR(AG10 &lt; (1-VLOOKUP($H10,PARÂMETROS!$E:$F,2,FALSE))*$P15, AG10 &gt; (1+VLOOKUP($H10,PARÂMETROS!$E:$F,2,FALSE))*$P10),"",AG10)))</f>
        <v>#N/A</v>
      </c>
      <c r="W10" s="237" t="e">
        <f>IF(AM10 = "", "", IF(OR($H10 = PARÂMETROS!$E$5, $H10 = ""), AM10, IF(OR(AM10 &lt; (1-VLOOKUP($H10,PARÂMETROS!$E:$F,2,FALSE))*$P10, AM10 &gt; (1+VLOOKUP($H10,PARÂMETROS!$E:$F,2,FALSE))*$P10),"",AM10)))</f>
        <v>#N/A</v>
      </c>
      <c r="X10" s="237" t="str">
        <f>IF(AS10 = "", "", IF(OR($H10 = PARÂMETROS!$E$5, $H10 = ""), AS10, IF(OR(AS10 &lt; (1-VLOOKUP($H10,PARÂMETROS!$E:$F,2,FALSE))*$P10, AS10 &gt; (1+VLOOKUP($H10,PARÂMETROS!$E:$F,2,FALSE))*$P10),"",AS10)))</f>
        <v/>
      </c>
      <c r="Y10" s="237" t="str">
        <f>IF(AY10 = "", "", IF(OR($H10 = PARÂMETROS!$E$5, $H10 = ""), AY10, IF(OR(AY10 &lt; (1-VLOOKUP($H10,PARÂMETROS!$E:$F,2,FALSE))*$P10, AY10 &gt; (1+VLOOKUP($H10,PARÂMETROS!$E:$F,2,FALSE))*$P10),"",AY10)))</f>
        <v/>
      </c>
      <c r="Z10" s="237" t="str">
        <f>IF(BE10 = "", "", IF(OR($H10 = PARÂMETROS!$E$5, $H10 = ""), BE10, IF(OR(BE10 &lt; (1-VLOOKUP($H10,PARÂMETROS!$E:$F,2,FALSE))*$P10, BE10 &gt; (1+VLOOKUP($H10,PARÂMETROS!$E:$F,2,FALSE))*$P10),"",BE10)))</f>
        <v/>
      </c>
      <c r="AA10" s="207">
        <v>2844</v>
      </c>
      <c r="AB10" s="205">
        <v>124</v>
      </c>
      <c r="AC10" s="206" t="e">
        <f>IF(AND(OR(AA10="",AA10=0),OR(AA10="",AB10=0)),"",IF(OR(AA10="",AA10=0),"DEFINIR PREÇO",IF(OR(AB10="",AB10=0),"DEFINIR FORNECEDOR",IF(OR(AA10&lt;&gt;"",AA10&lt;&gt;0),VLOOKUP(AB10,#REF!,2,FALSE)))))</f>
        <v>#REF!</v>
      </c>
      <c r="AD10" s="217" t="s">
        <v>1979</v>
      </c>
      <c r="AE10" s="218">
        <v>44945</v>
      </c>
      <c r="AF10" s="220" t="str">
        <f t="shared" ca="1" si="7"/>
        <v>DESATUALIZADA</v>
      </c>
      <c r="AG10" s="230">
        <v>2560</v>
      </c>
      <c r="AH10" s="231">
        <v>692</v>
      </c>
      <c r="AI10" s="206" t="e">
        <f>IF(AND(OR(AG10="",AG10=0),OR(AG10="",AH10=0)),"",IF(OR(AG10="",AG10=0),"DEFINIR PREÇO",IF(OR(AH10="",AH10=0),"DEFINIR FORNECEDOR",IF(OR(AG10&lt;&gt;"",AG10&lt;&gt;0),VLOOKUP(AH10,#REF!,2,FALSE)))))</f>
        <v>#REF!</v>
      </c>
      <c r="AJ10" s="217" t="s">
        <v>2013</v>
      </c>
      <c r="AK10" s="218">
        <v>44952</v>
      </c>
      <c r="AL10" s="220" t="str">
        <f t="shared" ca="1" si="8"/>
        <v>DESATUALIZADA</v>
      </c>
      <c r="AM10" s="229">
        <f>8354/7</f>
        <v>1193.4285714285713</v>
      </c>
      <c r="AN10" s="231">
        <v>6</v>
      </c>
      <c r="AO10" s="206" t="e">
        <f>IF(AND(OR(AM10="",AM10=0),OR(AM10="",AN10=0)),"",IF(OR(AM10="",AM10=0),"DEFINIR PREÇO",IF(OR(AN10="",AN10=0),"DEFINIR FORNECEDOR",IF(OR(AM10&lt;&gt;"",AM10&lt;&gt;0),VLOOKUP(AN10,#REF!,2,FALSE)))))</f>
        <v>#REF!</v>
      </c>
      <c r="AP10" s="217" t="s">
        <v>2017</v>
      </c>
      <c r="AQ10" s="218">
        <v>44945</v>
      </c>
      <c r="AR10" s="220" t="str">
        <f t="shared" ca="1" si="9"/>
        <v>DESATUALIZADA</v>
      </c>
      <c r="AS10" s="229"/>
      <c r="AT10" s="231"/>
      <c r="AU10" s="191" t="str">
        <f>IF(AND(OR(AS10="",AS10=0),OR(AS10="",AT10=0)),"",IF(OR(AS10="",AS10=0),"DEFINIR PREÇO",IF(OR(AT10="",AT10=0),"DEFINIR FORNECEDOR",IF(OR(AS10&lt;&gt;"",AS10&lt;&gt;0),VLOOKUP(AT10,#REF!,2,FALSE)))))</f>
        <v/>
      </c>
      <c r="AV10" s="217"/>
      <c r="AW10" s="218"/>
      <c r="AX10" s="220" t="str">
        <f t="shared" ca="1" si="10"/>
        <v/>
      </c>
      <c r="AY10" s="229"/>
      <c r="AZ10" s="234"/>
      <c r="BA10" s="209" t="str">
        <f>IF(AND(OR(AY10="",AY10=0),OR(AY10="",AZ10=0)),"",IF(OR(AY10="",AY10=0),"DEFINIR PREÇO",IF(OR(AZ10="",AZ10=0),"DEFINIR FORNECEDOR",IF(OR(AY10&lt;&gt;"",AY10&lt;&gt;0),VLOOKUP(AZ10,#REF!,2,FALSE)))))</f>
        <v/>
      </c>
      <c r="BB10" s="217"/>
      <c r="BC10" s="218"/>
      <c r="BD10" s="220" t="str">
        <f t="shared" ca="1" si="11"/>
        <v/>
      </c>
      <c r="BE10" s="195"/>
      <c r="BF10" s="196"/>
      <c r="BG10" s="194"/>
      <c r="BH10" s="194"/>
      <c r="BI10" s="194"/>
      <c r="BJ10" s="197"/>
    </row>
    <row r="11" spans="1:70" ht="30" x14ac:dyDescent="0.25">
      <c r="A11" s="44" t="s">
        <v>405</v>
      </c>
      <c r="B11" s="58" t="s">
        <v>225</v>
      </c>
      <c r="C11" s="45">
        <v>4</v>
      </c>
      <c r="D11" s="55" t="s">
        <v>205</v>
      </c>
      <c r="E11" s="45" t="s">
        <v>20</v>
      </c>
      <c r="F11" s="46" t="str">
        <f t="shared" si="12"/>
        <v>DEFINIR CRITÉRIO</v>
      </c>
      <c r="G11" s="47" t="str">
        <f t="shared" si="13"/>
        <v>DEFINIR CRITÉRIO</v>
      </c>
      <c r="H11" s="240" t="s">
        <v>2000</v>
      </c>
      <c r="I11" s="240" t="s">
        <v>2002</v>
      </c>
      <c r="J11" s="242" t="str">
        <f>IFERROR(IF(N11&lt;&gt;"",M11,IF(I11 = PARÂMETROS!$B$5,Q11, IF(I11 = PARÂMETROS!$B$6,R11,IF(I11 = PARÂMETROS!$B$7,S11,IF(I11 = PARÂMETROS!$B$8, T11,"DEFINIR CRITÉRIO"))))),"SEM PREÇO")</f>
        <v>DEFINIR CRITÉRIO</v>
      </c>
      <c r="K11" s="241" t="str">
        <f t="shared" si="0"/>
        <v/>
      </c>
      <c r="L11" s="238" t="str">
        <f t="shared" si="1"/>
        <v/>
      </c>
      <c r="M11" s="51"/>
      <c r="N11" s="52"/>
      <c r="O11" s="53"/>
      <c r="P11" s="235">
        <f t="shared" si="2"/>
        <v>2737.5714285714289</v>
      </c>
      <c r="Q11" s="236">
        <f t="shared" si="3"/>
        <v>0</v>
      </c>
      <c r="R11" s="236">
        <f t="shared" si="4"/>
        <v>0</v>
      </c>
      <c r="S11" s="236">
        <f t="shared" si="5"/>
        <v>0</v>
      </c>
      <c r="T11" s="236">
        <f t="shared" si="6"/>
        <v>0</v>
      </c>
      <c r="U11" s="237" t="e">
        <f>IF(AA11 = "", "", IF(OR($H11 = PARÂMETROS!$E$5, $H11 = ""), AA11, IF(OR(AA11 &lt; (1-VLOOKUP($H11,PARÂMETROS!$E:$F,2,FALSE))*$P11, AA11 &gt; (1+VLOOKUP($H11,PARÂMETROS!$E:$F,2,FALSE))*$P11),"",AA11)))</f>
        <v>#N/A</v>
      </c>
      <c r="V11" s="237" t="e">
        <f>IF(AG11 = "", "", IF(OR($H11 = PARÂMETROS!$E$5, $H11 = ""), AG11, IF(OR(AG11 &lt; (1-VLOOKUP($H11,PARÂMETROS!$E:$F,2,FALSE))*$P16, AG11 &gt; (1+VLOOKUP($H11,PARÂMETROS!$E:$F,2,FALSE))*$P11),"",AG11)))</f>
        <v>#N/A</v>
      </c>
      <c r="W11" s="237" t="e">
        <f>IF(AM11 = "", "", IF(OR($H11 = PARÂMETROS!$E$5, $H11 = ""), AM11, IF(OR(AM11 &lt; (1-VLOOKUP($H11,PARÂMETROS!$E:$F,2,FALSE))*$P11, AM11 &gt; (1+VLOOKUP($H11,PARÂMETROS!$E:$F,2,FALSE))*$P11),"",AM11)))</f>
        <v>#N/A</v>
      </c>
      <c r="X11" s="237" t="str">
        <f>IF(AS11 = "", "", IF(OR($H11 = PARÂMETROS!$E$5, $H11 = ""), AS11, IF(OR(AS11 &lt; (1-VLOOKUP($H11,PARÂMETROS!$E:$F,2,FALSE))*$P11, AS11 &gt; (1+VLOOKUP($H11,PARÂMETROS!$E:$F,2,FALSE))*$P11),"",AS11)))</f>
        <v/>
      </c>
      <c r="Y11" s="237" t="str">
        <f>IF(AY11 = "", "", IF(OR($H11 = PARÂMETROS!$E$5, $H11 = ""), AY11, IF(OR(AY11 &lt; (1-VLOOKUP($H11,PARÂMETROS!$E:$F,2,FALSE))*$P11, AY11 &gt; (1+VLOOKUP($H11,PARÂMETROS!$E:$F,2,FALSE))*$P11),"",AY11)))</f>
        <v/>
      </c>
      <c r="Z11" s="237" t="str">
        <f>IF(BE11 = "", "", IF(OR($H11 = PARÂMETROS!$E$5, $H11 = ""), BE11, IF(OR(BE11 &lt; (1-VLOOKUP($H11,PARÂMETROS!$E:$F,2,FALSE))*$P11, BE11 &gt; (1+VLOOKUP($H11,PARÂMETROS!$E:$F,2,FALSE))*$P11),"",BE11)))</f>
        <v/>
      </c>
      <c r="AA11" s="207">
        <v>3515</v>
      </c>
      <c r="AB11" s="205">
        <v>124</v>
      </c>
      <c r="AC11" s="206" t="e">
        <f>IF(AND(OR(AA11="",AA11=0),OR(AA11="",AB11=0)),"",IF(OR(AA11="",AA11=0),"DEFINIR PREÇO",IF(OR(AB11="",AB11=0),"DEFINIR FORNECEDOR",IF(OR(AA11&lt;&gt;"",AA11&lt;&gt;0),VLOOKUP(AB11,#REF!,2,FALSE)))))</f>
        <v>#REF!</v>
      </c>
      <c r="AD11" s="217" t="s">
        <v>1979</v>
      </c>
      <c r="AE11" s="218">
        <v>44945</v>
      </c>
      <c r="AF11" s="220" t="str">
        <f t="shared" ca="1" si="7"/>
        <v>DESATUALIZADA</v>
      </c>
      <c r="AG11" s="230">
        <v>3200</v>
      </c>
      <c r="AH11" s="231">
        <v>692</v>
      </c>
      <c r="AI11" s="206" t="e">
        <f>IF(AND(OR(AG11="",AG11=0),OR(AG11="",AH11=0)),"",IF(OR(AG11="",AG11=0),"DEFINIR PREÇO",IF(OR(AH11="",AH11=0),"DEFINIR FORNECEDOR",IF(OR(AG11&lt;&gt;"",AG11&lt;&gt;0),VLOOKUP(AH11,#REF!,2,FALSE)))))</f>
        <v>#REF!</v>
      </c>
      <c r="AJ11" s="217" t="s">
        <v>2013</v>
      </c>
      <c r="AK11" s="218">
        <v>44952</v>
      </c>
      <c r="AL11" s="220" t="str">
        <f t="shared" ca="1" si="8"/>
        <v>DESATUALIZADA</v>
      </c>
      <c r="AM11" s="229">
        <f>10484/7</f>
        <v>1497.7142857142858</v>
      </c>
      <c r="AN11" s="231">
        <v>6</v>
      </c>
      <c r="AO11" s="206" t="e">
        <f>IF(AND(OR(AM11="",AM11=0),OR(AM11="",AN11=0)),"",IF(OR(AM11="",AM11=0),"DEFINIR PREÇO",IF(OR(AN11="",AN11=0),"DEFINIR FORNECEDOR",IF(OR(AM11&lt;&gt;"",AM11&lt;&gt;0),VLOOKUP(AN11,#REF!,2,FALSE)))))</f>
        <v>#REF!</v>
      </c>
      <c r="AP11" s="217" t="s">
        <v>2017</v>
      </c>
      <c r="AQ11" s="218">
        <v>44945</v>
      </c>
      <c r="AR11" s="220" t="str">
        <f t="shared" ca="1" si="9"/>
        <v>DESATUALIZADA</v>
      </c>
      <c r="AS11" s="229"/>
      <c r="AT11" s="231"/>
      <c r="AU11" s="191" t="str">
        <f>IF(AND(OR(AS11="",AS11=0),OR(AS11="",AT11=0)),"",IF(OR(AS11="",AS11=0),"DEFINIR PREÇO",IF(OR(AT11="",AT11=0),"DEFINIR FORNECEDOR",IF(OR(AS11&lt;&gt;"",AS11&lt;&gt;0),VLOOKUP(AT11,#REF!,2,FALSE)))))</f>
        <v/>
      </c>
      <c r="AV11" s="217"/>
      <c r="AW11" s="218"/>
      <c r="AX11" s="220" t="str">
        <f t="shared" ca="1" si="10"/>
        <v/>
      </c>
      <c r="AY11" s="229"/>
      <c r="AZ11" s="234"/>
      <c r="BA11" s="209" t="str">
        <f>IF(AND(OR(AY11="",AY11=0),OR(AY11="",AZ11=0)),"",IF(OR(AY11="",AY11=0),"DEFINIR PREÇO",IF(OR(AZ11="",AZ11=0),"DEFINIR FORNECEDOR",IF(OR(AY11&lt;&gt;"",AY11&lt;&gt;0),VLOOKUP(AZ11,#REF!,2,FALSE)))))</f>
        <v/>
      </c>
      <c r="BB11" s="217"/>
      <c r="BC11" s="218"/>
      <c r="BD11" s="220" t="str">
        <f t="shared" ca="1" si="11"/>
        <v/>
      </c>
      <c r="BE11" s="195"/>
      <c r="BF11" s="196"/>
      <c r="BG11" s="194"/>
      <c r="BH11" s="194"/>
      <c r="BI11" s="194"/>
      <c r="BJ11" s="197"/>
    </row>
    <row r="12" spans="1:70" ht="30" x14ac:dyDescent="0.25">
      <c r="A12" s="44" t="s">
        <v>405</v>
      </c>
      <c r="B12" s="58" t="s">
        <v>226</v>
      </c>
      <c r="C12" s="45">
        <v>4</v>
      </c>
      <c r="D12" s="55" t="s">
        <v>206</v>
      </c>
      <c r="E12" s="45" t="s">
        <v>20</v>
      </c>
      <c r="F12" s="46" t="str">
        <f t="shared" si="12"/>
        <v>DEFINIR CRITÉRIO</v>
      </c>
      <c r="G12" s="47" t="str">
        <f t="shared" si="13"/>
        <v>DEFINIR CRITÉRIO</v>
      </c>
      <c r="H12" s="240" t="s">
        <v>2000</v>
      </c>
      <c r="I12" s="240" t="s">
        <v>2002</v>
      </c>
      <c r="J12" s="242" t="str">
        <f>IFERROR(IF(N12&lt;&gt;"",M12,IF(I12 = PARÂMETROS!$B$5,Q12, IF(I12 = PARÂMETROS!$B$6,R12,IF(I12 = PARÂMETROS!$B$7,S12,IF(I12 = PARÂMETROS!$B$8, T12,"DEFINIR CRITÉRIO"))))),"SEM PREÇO")</f>
        <v>DEFINIR CRITÉRIO</v>
      </c>
      <c r="K12" s="241" t="str">
        <f t="shared" si="0"/>
        <v/>
      </c>
      <c r="L12" s="238" t="str">
        <f t="shared" si="1"/>
        <v/>
      </c>
      <c r="M12" s="51"/>
      <c r="N12" s="52"/>
      <c r="O12" s="53"/>
      <c r="P12" s="235">
        <f t="shared" si="2"/>
        <v>3281</v>
      </c>
      <c r="Q12" s="236">
        <f t="shared" si="3"/>
        <v>0</v>
      </c>
      <c r="R12" s="236">
        <f t="shared" si="4"/>
        <v>0</v>
      </c>
      <c r="S12" s="236">
        <f t="shared" si="5"/>
        <v>0</v>
      </c>
      <c r="T12" s="236">
        <f t="shared" si="6"/>
        <v>0</v>
      </c>
      <c r="U12" s="237" t="e">
        <f>IF(AA12 = "", "", IF(OR($H12 = PARÂMETROS!$E$5, $H12 = ""), AA12, IF(OR(AA12 &lt; (1-VLOOKUP($H12,PARÂMETROS!$E:$F,2,FALSE))*$P12, AA12 &gt; (1+VLOOKUP($H12,PARÂMETROS!$E:$F,2,FALSE))*$P12),"",AA12)))</f>
        <v>#N/A</v>
      </c>
      <c r="V12" s="237" t="e">
        <f>IF(AG12 = "", "", IF(OR($H12 = PARÂMETROS!$E$5, $H12 = ""), AG12, IF(OR(AG12 &lt; (1-VLOOKUP($H12,PARÂMETROS!$E:$F,2,FALSE))*$P17, AG12 &gt; (1+VLOOKUP($H12,PARÂMETROS!$E:$F,2,FALSE))*$P12),"",AG12)))</f>
        <v>#N/A</v>
      </c>
      <c r="W12" s="237" t="e">
        <f>IF(AM12 = "", "", IF(OR($H12 = PARÂMETROS!$E$5, $H12 = ""), AM12, IF(OR(AM12 &lt; (1-VLOOKUP($H12,PARÂMETROS!$E:$F,2,FALSE))*$P12, AM12 &gt; (1+VLOOKUP($H12,PARÂMETROS!$E:$F,2,FALSE))*$P12),"",AM12)))</f>
        <v>#N/A</v>
      </c>
      <c r="X12" s="237" t="str">
        <f>IF(AS12 = "", "", IF(OR($H12 = PARÂMETROS!$E$5, $H12 = ""), AS12, IF(OR(AS12 &lt; (1-VLOOKUP($H12,PARÂMETROS!$E:$F,2,FALSE))*$P12, AS12 &gt; (1+VLOOKUP($H12,PARÂMETROS!$E:$F,2,FALSE))*$P12),"",AS12)))</f>
        <v/>
      </c>
      <c r="Y12" s="237" t="str">
        <f>IF(AY12 = "", "", IF(OR($H12 = PARÂMETROS!$E$5, $H12 = ""), AY12, IF(OR(AY12 &lt; (1-VLOOKUP($H12,PARÂMETROS!$E:$F,2,FALSE))*$P12, AY12 &gt; (1+VLOOKUP($H12,PARÂMETROS!$E:$F,2,FALSE))*$P12),"",AY12)))</f>
        <v/>
      </c>
      <c r="Z12" s="237" t="str">
        <f>IF(BE12 = "", "", IF(OR($H12 = PARÂMETROS!$E$5, $H12 = ""), BE12, IF(OR(BE12 &lt; (1-VLOOKUP($H12,PARÂMETROS!$E:$F,2,FALSE))*$P12, BE12 &gt; (1+VLOOKUP($H12,PARÂMETROS!$E:$F,2,FALSE))*$P12),"",BE12)))</f>
        <v/>
      </c>
      <c r="AA12" s="207">
        <v>4244</v>
      </c>
      <c r="AB12" s="205">
        <v>124</v>
      </c>
      <c r="AC12" s="206" t="e">
        <f>IF(AND(OR(AA12="",AA12=0),OR(AA12="",AB12=0)),"",IF(OR(AA12="",AA12=0),"DEFINIR PREÇO",IF(OR(AB12="",AB12=0),"DEFINIR FORNECEDOR",IF(OR(AA12&lt;&gt;"",AA12&lt;&gt;0),VLOOKUP(AB12,#REF!,2,FALSE)))))</f>
        <v>#REF!</v>
      </c>
      <c r="AD12" s="217" t="s">
        <v>1979</v>
      </c>
      <c r="AE12" s="218">
        <v>44945</v>
      </c>
      <c r="AF12" s="220" t="str">
        <f t="shared" ca="1" si="7"/>
        <v>DESATUALIZADA</v>
      </c>
      <c r="AG12" s="230">
        <v>3800</v>
      </c>
      <c r="AH12" s="231">
        <v>692</v>
      </c>
      <c r="AI12" s="206" t="e">
        <f>IF(AND(OR(AG12="",AG12=0),OR(AG12="",AH12=0)),"",IF(OR(AG12="",AG12=0),"DEFINIR PREÇO",IF(OR(AH12="",AH12=0),"DEFINIR FORNECEDOR",IF(OR(AG12&lt;&gt;"",AG12&lt;&gt;0),VLOOKUP(AH12,#REF!,2,FALSE)))))</f>
        <v>#REF!</v>
      </c>
      <c r="AJ12" s="217" t="s">
        <v>2013</v>
      </c>
      <c r="AK12" s="218">
        <v>44952</v>
      </c>
      <c r="AL12" s="220" t="str">
        <f t="shared" ca="1" si="8"/>
        <v>DESATUALIZADA</v>
      </c>
      <c r="AM12" s="229">
        <f>3598/2</f>
        <v>1799</v>
      </c>
      <c r="AN12" s="231">
        <v>6</v>
      </c>
      <c r="AO12" s="206" t="e">
        <f>IF(AND(OR(AM12="",AM12=0),OR(AM12="",AN12=0)),"",IF(OR(AM12="",AM12=0),"DEFINIR PREÇO",IF(OR(AN12="",AN12=0),"DEFINIR FORNECEDOR",IF(OR(AM12&lt;&gt;"",AM12&lt;&gt;0),VLOOKUP(AN12,#REF!,2,FALSE)))))</f>
        <v>#REF!</v>
      </c>
      <c r="AP12" s="217" t="s">
        <v>2017</v>
      </c>
      <c r="AQ12" s="218">
        <v>44945</v>
      </c>
      <c r="AR12" s="220" t="str">
        <f t="shared" ca="1" si="9"/>
        <v>DESATUALIZADA</v>
      </c>
      <c r="AS12" s="229"/>
      <c r="AT12" s="231"/>
      <c r="AU12" s="191" t="str">
        <f>IF(AND(OR(AS12="",AS12=0),OR(AS12="",AT12=0)),"",IF(OR(AS12="",AS12=0),"DEFINIR PREÇO",IF(OR(AT12="",AT12=0),"DEFINIR FORNECEDOR",IF(OR(AS12&lt;&gt;"",AS12&lt;&gt;0),VLOOKUP(AT12,#REF!,2,FALSE)))))</f>
        <v/>
      </c>
      <c r="AV12" s="217"/>
      <c r="AW12" s="218"/>
      <c r="AX12" s="220" t="str">
        <f t="shared" ca="1" si="10"/>
        <v/>
      </c>
      <c r="AY12" s="229"/>
      <c r="AZ12" s="234"/>
      <c r="BA12" s="209" t="str">
        <f>IF(AND(OR(AY12="",AY12=0),OR(AY12="",AZ12=0)),"",IF(OR(AY12="",AY12=0),"DEFINIR PREÇO",IF(OR(AZ12="",AZ12=0),"DEFINIR FORNECEDOR",IF(OR(AY12&lt;&gt;"",AY12&lt;&gt;0),VLOOKUP(AZ12,#REF!,2,FALSE)))))</f>
        <v/>
      </c>
      <c r="BB12" s="217"/>
      <c r="BC12" s="218"/>
      <c r="BD12" s="220" t="str">
        <f t="shared" ca="1" si="11"/>
        <v/>
      </c>
      <c r="BE12" s="195"/>
      <c r="BF12" s="196"/>
      <c r="BG12" s="194"/>
      <c r="BH12" s="194"/>
      <c r="BI12" s="194"/>
      <c r="BJ12" s="197"/>
    </row>
    <row r="13" spans="1:70" ht="30" x14ac:dyDescent="0.25">
      <c r="A13" s="44" t="s">
        <v>405</v>
      </c>
      <c r="B13" s="58" t="s">
        <v>227</v>
      </c>
      <c r="C13" s="45">
        <v>4</v>
      </c>
      <c r="D13" s="55" t="s">
        <v>207</v>
      </c>
      <c r="E13" s="45" t="s">
        <v>20</v>
      </c>
      <c r="F13" s="46" t="str">
        <f t="shared" si="12"/>
        <v>DEFINIR CRITÉRIO</v>
      </c>
      <c r="G13" s="47" t="str">
        <f t="shared" si="13"/>
        <v>DEFINIR CRITÉRIO</v>
      </c>
      <c r="H13" s="240" t="s">
        <v>2000</v>
      </c>
      <c r="I13" s="240" t="s">
        <v>2002</v>
      </c>
      <c r="J13" s="242" t="str">
        <f>IFERROR(IF(N13&lt;&gt;"",M13,IF(I13 = PARÂMETROS!$B$5,Q13, IF(I13 = PARÂMETROS!$B$6,R13,IF(I13 = PARÂMETROS!$B$7,S13,IF(I13 = PARÂMETROS!$B$8, T13,"DEFINIR CRITÉRIO"))))),"SEM PREÇO")</f>
        <v>DEFINIR CRITÉRIO</v>
      </c>
      <c r="K13" s="241" t="str">
        <f t="shared" si="0"/>
        <v/>
      </c>
      <c r="L13" s="238" t="str">
        <f t="shared" si="1"/>
        <v/>
      </c>
      <c r="M13" s="51"/>
      <c r="N13" s="52"/>
      <c r="O13" s="53"/>
      <c r="P13" s="235">
        <f t="shared" si="2"/>
        <v>4841</v>
      </c>
      <c r="Q13" s="236">
        <f t="shared" si="3"/>
        <v>0</v>
      </c>
      <c r="R13" s="236">
        <f t="shared" si="4"/>
        <v>0</v>
      </c>
      <c r="S13" s="236">
        <f t="shared" si="5"/>
        <v>0</v>
      </c>
      <c r="T13" s="236">
        <f t="shared" si="6"/>
        <v>0</v>
      </c>
      <c r="U13" s="237" t="e">
        <f>IF(AA13 = "", "", IF(OR($H13 = PARÂMETROS!$E$5, $H13 = ""), AA13, IF(OR(AA13 &lt; (1-VLOOKUP($H13,PARÂMETROS!$E:$F,2,FALSE))*$P13, AA13 &gt; (1+VLOOKUP($H13,PARÂMETROS!$E:$F,2,FALSE))*$P13),"",AA13)))</f>
        <v>#N/A</v>
      </c>
      <c r="V13" s="237" t="e">
        <f>IF(AG13 = "", "", IF(OR($H13 = PARÂMETROS!$E$5, $H13 = ""), AG13, IF(OR(AG13 &lt; (1-VLOOKUP($H13,PARÂMETROS!$E:$F,2,FALSE))*$P18, AG13 &gt; (1+VLOOKUP($H13,PARÂMETROS!$E:$F,2,FALSE))*$P13),"",AG13)))</f>
        <v>#N/A</v>
      </c>
      <c r="W13" s="237" t="e">
        <f>IF(AM13 = "", "", IF(OR($H13 = PARÂMETROS!$E$5, $H13 = ""), AM13, IF(OR(AM13 &lt; (1-VLOOKUP($H13,PARÂMETROS!$E:$F,2,FALSE))*$P13, AM13 &gt; (1+VLOOKUP($H13,PARÂMETROS!$E:$F,2,FALSE))*$P13),"",AM13)))</f>
        <v>#N/A</v>
      </c>
      <c r="X13" s="237" t="str">
        <f>IF(AS13 = "", "", IF(OR($H13 = PARÂMETROS!$E$5, $H13 = ""), AS13, IF(OR(AS13 &lt; (1-VLOOKUP($H13,PARÂMETROS!$E:$F,2,FALSE))*$P13, AS13 &gt; (1+VLOOKUP($H13,PARÂMETROS!$E:$F,2,FALSE))*$P13),"",AS13)))</f>
        <v/>
      </c>
      <c r="Y13" s="237" t="str">
        <f>IF(AY13 = "", "", IF(OR($H13 = PARÂMETROS!$E$5, $H13 = ""), AY13, IF(OR(AY13 &lt; (1-VLOOKUP($H13,PARÂMETROS!$E:$F,2,FALSE))*$P13, AY13 &gt; (1+VLOOKUP($H13,PARÂMETROS!$E:$F,2,FALSE))*$P13),"",AY13)))</f>
        <v/>
      </c>
      <c r="Z13" s="237" t="str">
        <f>IF(BE13 = "", "", IF(OR($H13 = PARÂMETROS!$E$5, $H13 = ""), BE13, IF(OR(BE13 &lt; (1-VLOOKUP($H13,PARÂMETROS!$E:$F,2,FALSE))*$P13, BE13 &gt; (1+VLOOKUP($H13,PARÂMETROS!$E:$F,2,FALSE))*$P13),"",BE13)))</f>
        <v/>
      </c>
      <c r="AA13" s="207">
        <v>6258</v>
      </c>
      <c r="AB13" s="205">
        <v>124</v>
      </c>
      <c r="AC13" s="206" t="e">
        <f>IF(AND(OR(AA13="",AA13=0),OR(AA13="",AB13=0)),"",IF(OR(AA13="",AA13=0),"DEFINIR PREÇO",IF(OR(AB13="",AB13=0),"DEFINIR FORNECEDOR",IF(OR(AA13&lt;&gt;"",AA13&lt;&gt;0),VLOOKUP(AB13,#REF!,2,FALSE)))))</f>
        <v>#REF!</v>
      </c>
      <c r="AD13" s="217" t="s">
        <v>1979</v>
      </c>
      <c r="AE13" s="218">
        <v>44945</v>
      </c>
      <c r="AF13" s="220" t="str">
        <f t="shared" ca="1" si="7"/>
        <v>DESATUALIZADA</v>
      </c>
      <c r="AG13" s="230">
        <v>5600</v>
      </c>
      <c r="AH13" s="231">
        <v>692</v>
      </c>
      <c r="AI13" s="206" t="e">
        <f>IF(AND(OR(AG13="",AG13=0),OR(AG13="",AH13=0)),"",IF(OR(AG13="",AG13=0),"DEFINIR PREÇO",IF(OR(AH13="",AH13=0),"DEFINIR FORNECEDOR",IF(OR(AG13&lt;&gt;"",AG13&lt;&gt;0),VLOOKUP(AH13,#REF!,2,FALSE)))))</f>
        <v>#REF!</v>
      </c>
      <c r="AJ13" s="217" t="s">
        <v>2013</v>
      </c>
      <c r="AK13" s="218">
        <v>44952</v>
      </c>
      <c r="AL13" s="220" t="str">
        <f t="shared" ca="1" si="8"/>
        <v>DESATUALIZADA</v>
      </c>
      <c r="AM13" s="229">
        <f>10660/4</f>
        <v>2665</v>
      </c>
      <c r="AN13" s="231">
        <v>6</v>
      </c>
      <c r="AO13" s="206" t="e">
        <f>IF(AND(OR(AM13="",AM13=0),OR(AM13="",AN13=0)),"",IF(OR(AM13="",AM13=0),"DEFINIR PREÇO",IF(OR(AN13="",AN13=0),"DEFINIR FORNECEDOR",IF(OR(AM13&lt;&gt;"",AM13&lt;&gt;0),VLOOKUP(AN13,#REF!,2,FALSE)))))</f>
        <v>#REF!</v>
      </c>
      <c r="AP13" s="217" t="s">
        <v>2017</v>
      </c>
      <c r="AQ13" s="218">
        <v>44945</v>
      </c>
      <c r="AR13" s="220" t="str">
        <f t="shared" ca="1" si="9"/>
        <v>DESATUALIZADA</v>
      </c>
      <c r="AS13" s="229"/>
      <c r="AT13" s="231"/>
      <c r="AU13" s="191" t="str">
        <f>IF(AND(OR(AS13="",AS13=0),OR(AS13="",AT13=0)),"",IF(OR(AS13="",AS13=0),"DEFINIR PREÇO",IF(OR(AT13="",AT13=0),"DEFINIR FORNECEDOR",IF(OR(AS13&lt;&gt;"",AS13&lt;&gt;0),VLOOKUP(AT13,#REF!,2,FALSE)))))</f>
        <v/>
      </c>
      <c r="AV13" s="217"/>
      <c r="AW13" s="218"/>
      <c r="AX13" s="220" t="str">
        <f t="shared" ca="1" si="10"/>
        <v/>
      </c>
      <c r="AY13" s="229"/>
      <c r="AZ13" s="234"/>
      <c r="BA13" s="209" t="str">
        <f>IF(AND(OR(AY13="",AY13=0),OR(AY13="",AZ13=0)),"",IF(OR(AY13="",AY13=0),"DEFINIR PREÇO",IF(OR(AZ13="",AZ13=0),"DEFINIR FORNECEDOR",IF(OR(AY13&lt;&gt;"",AY13&lt;&gt;0),VLOOKUP(AZ13,#REF!,2,FALSE)))))</f>
        <v/>
      </c>
      <c r="BB13" s="217"/>
      <c r="BC13" s="218"/>
      <c r="BD13" s="220" t="str">
        <f t="shared" ca="1" si="11"/>
        <v/>
      </c>
      <c r="BE13" s="195"/>
      <c r="BF13" s="196"/>
      <c r="BG13" s="194"/>
      <c r="BH13" s="194"/>
      <c r="BI13" s="194"/>
      <c r="BJ13" s="197"/>
    </row>
    <row r="14" spans="1:70" ht="30" x14ac:dyDescent="0.25">
      <c r="A14" s="44" t="s">
        <v>405</v>
      </c>
      <c r="B14" s="58" t="s">
        <v>228</v>
      </c>
      <c r="C14" s="45">
        <v>4</v>
      </c>
      <c r="D14" s="55" t="s">
        <v>208</v>
      </c>
      <c r="E14" s="45" t="s">
        <v>20</v>
      </c>
      <c r="F14" s="46" t="str">
        <f t="shared" si="12"/>
        <v>DEFINIR CRITÉRIO</v>
      </c>
      <c r="G14" s="47" t="str">
        <f t="shared" si="13"/>
        <v>DEFINIR CRITÉRIO</v>
      </c>
      <c r="H14" s="240" t="s">
        <v>2000</v>
      </c>
      <c r="I14" s="240" t="s">
        <v>2002</v>
      </c>
      <c r="J14" s="242" t="str">
        <f>IFERROR(IF(N14&lt;&gt;"",M14,IF(I14 = PARÂMETROS!$B$5,Q14, IF(I14 = PARÂMETROS!$B$6,R14,IF(I14 = PARÂMETROS!$B$7,S14,IF(I14 = PARÂMETROS!$B$8, T14,"DEFINIR CRITÉRIO"))))),"SEM PREÇO")</f>
        <v>DEFINIR CRITÉRIO</v>
      </c>
      <c r="K14" s="241" t="str">
        <f t="shared" si="0"/>
        <v/>
      </c>
      <c r="L14" s="238" t="str">
        <f t="shared" si="1"/>
        <v/>
      </c>
      <c r="M14" s="51"/>
      <c r="N14" s="52"/>
      <c r="O14" s="53"/>
      <c r="P14" s="235">
        <f t="shared" si="2"/>
        <v>4609.4000000000005</v>
      </c>
      <c r="Q14" s="236">
        <f t="shared" si="3"/>
        <v>0</v>
      </c>
      <c r="R14" s="236">
        <f t="shared" si="4"/>
        <v>0</v>
      </c>
      <c r="S14" s="236">
        <f t="shared" si="5"/>
        <v>0</v>
      </c>
      <c r="T14" s="236">
        <f t="shared" si="6"/>
        <v>0</v>
      </c>
      <c r="U14" s="237" t="e">
        <f>IF(AA14 = "", "", IF(OR($H14 = PARÂMETROS!$E$5, $H14 = ""), AA14, IF(OR(AA14 &lt; (1-VLOOKUP($H14,PARÂMETROS!$E:$F,2,FALSE))*$P14, AA14 &gt; (1+VLOOKUP($H14,PARÂMETROS!$E:$F,2,FALSE))*$P14),"",AA14)))</f>
        <v>#N/A</v>
      </c>
      <c r="V14" s="237" t="e">
        <f>IF(AG14 = "", "", IF(OR($H14 = PARÂMETROS!$E$5, $H14 = ""), AG14, IF(OR(AG14 &lt; (1-VLOOKUP($H14,PARÂMETROS!$E:$F,2,FALSE))*$P19, AG14 &gt; (1+VLOOKUP($H14,PARÂMETROS!$E:$F,2,FALSE))*$P14),"",AG14)))</f>
        <v>#N/A</v>
      </c>
      <c r="W14" s="237" t="e">
        <f>IF(AM14 = "", "", IF(OR($H14 = PARÂMETROS!$E$5, $H14 = ""), AM14, IF(OR(AM14 &lt; (1-VLOOKUP($H14,PARÂMETROS!$E:$F,2,FALSE))*$P14, AM14 &gt; (1+VLOOKUP($H14,PARÂMETROS!$E:$F,2,FALSE))*$P14),"",AM14)))</f>
        <v>#N/A</v>
      </c>
      <c r="X14" s="237" t="str">
        <f>IF(AS14 = "", "", IF(OR($H14 = PARÂMETROS!$E$5, $H14 = ""), AS14, IF(OR(AS14 &lt; (1-VLOOKUP($H14,PARÂMETROS!$E:$F,2,FALSE))*$P14, AS14 &gt; (1+VLOOKUP($H14,PARÂMETROS!$E:$F,2,FALSE))*$P14),"",AS14)))</f>
        <v/>
      </c>
      <c r="Y14" s="237" t="str">
        <f>IF(AY14 = "", "", IF(OR($H14 = PARÂMETROS!$E$5, $H14 = ""), AY14, IF(OR(AY14 &lt; (1-VLOOKUP($H14,PARÂMETROS!$E:$F,2,FALSE))*$P14, AY14 &gt; (1+VLOOKUP($H14,PARÂMETROS!$E:$F,2,FALSE))*$P14),"",AY14)))</f>
        <v/>
      </c>
      <c r="Z14" s="237" t="str">
        <f>IF(BE14 = "", "", IF(OR($H14 = PARÂMETROS!$E$5, $H14 = ""), BE14, IF(OR(BE14 &lt; (1-VLOOKUP($H14,PARÂMETROS!$E:$F,2,FALSE))*$P14, BE14 &gt; (1+VLOOKUP($H14,PARÂMETROS!$E:$F,2,FALSE))*$P14),"",BE14)))</f>
        <v/>
      </c>
      <c r="AA14" s="207">
        <v>4380</v>
      </c>
      <c r="AB14" s="205">
        <v>124</v>
      </c>
      <c r="AC14" s="206" t="e">
        <f>IF(AND(OR(AA14="",AA14=0),OR(AA14="",AB14=0)),"",IF(OR(AA14="",AA14=0),"DEFINIR PREÇO",IF(OR(AB14="",AB14=0),"DEFINIR FORNECEDOR",IF(OR(AA14&lt;&gt;"",AA14&lt;&gt;0),VLOOKUP(AB14,#REF!,2,FALSE)))))</f>
        <v>#REF!</v>
      </c>
      <c r="AD14" s="217" t="s">
        <v>1979</v>
      </c>
      <c r="AE14" s="218">
        <v>44945</v>
      </c>
      <c r="AF14" s="220" t="str">
        <f t="shared" ca="1" si="7"/>
        <v>DESATUALIZADA</v>
      </c>
      <c r="AG14" s="230">
        <v>6400</v>
      </c>
      <c r="AH14" s="231">
        <v>692</v>
      </c>
      <c r="AI14" s="206" t="e">
        <f>IF(AND(OR(AG14="",AG14=0),OR(AG14="",AH14=0)),"",IF(OR(AG14="",AG14=0),"DEFINIR PREÇO",IF(OR(AH14="",AH14=0),"DEFINIR FORNECEDOR",IF(OR(AG14&lt;&gt;"",AG14&lt;&gt;0),VLOOKUP(AH14,#REF!,2,FALSE)))))</f>
        <v>#REF!</v>
      </c>
      <c r="AJ14" s="217" t="s">
        <v>2013</v>
      </c>
      <c r="AK14" s="218">
        <v>44952</v>
      </c>
      <c r="AL14" s="220" t="str">
        <f t="shared" ca="1" si="8"/>
        <v>DESATUALIZADA</v>
      </c>
      <c r="AM14" s="229">
        <f>30482/10</f>
        <v>3048.2</v>
      </c>
      <c r="AN14" s="231">
        <v>6</v>
      </c>
      <c r="AO14" s="206" t="e">
        <f>IF(AND(OR(AM14="",AM14=0),OR(AM14="",AN14=0)),"",IF(OR(AM14="",AM14=0),"DEFINIR PREÇO",IF(OR(AN14="",AN14=0),"DEFINIR FORNECEDOR",IF(OR(AM14&lt;&gt;"",AM14&lt;&gt;0),VLOOKUP(AN14,#REF!,2,FALSE)))))</f>
        <v>#REF!</v>
      </c>
      <c r="AP14" s="217" t="s">
        <v>2017</v>
      </c>
      <c r="AQ14" s="218">
        <v>44945</v>
      </c>
      <c r="AR14" s="220" t="str">
        <f t="shared" ca="1" si="9"/>
        <v>DESATUALIZADA</v>
      </c>
      <c r="AS14" s="229"/>
      <c r="AT14" s="231"/>
      <c r="AU14" s="191" t="str">
        <f>IF(AND(OR(AS14="",AS14=0),OR(AS14="",AT14=0)),"",IF(OR(AS14="",AS14=0),"DEFINIR PREÇO",IF(OR(AT14="",AT14=0),"DEFINIR FORNECEDOR",IF(OR(AS14&lt;&gt;"",AS14&lt;&gt;0),VLOOKUP(AT14,#REF!,2,FALSE)))))</f>
        <v/>
      </c>
      <c r="AV14" s="217"/>
      <c r="AW14" s="218"/>
      <c r="AX14" s="220" t="str">
        <f t="shared" ca="1" si="10"/>
        <v/>
      </c>
      <c r="AY14" s="229"/>
      <c r="AZ14" s="234"/>
      <c r="BA14" s="209" t="str">
        <f>IF(AND(OR(AY14="",AY14=0),OR(AY14="",AZ14=0)),"",IF(OR(AY14="",AY14=0),"DEFINIR PREÇO",IF(OR(AZ14="",AZ14=0),"DEFINIR FORNECEDOR",IF(OR(AY14&lt;&gt;"",AY14&lt;&gt;0),VLOOKUP(AZ14,#REF!,2,FALSE)))))</f>
        <v/>
      </c>
      <c r="BB14" s="217"/>
      <c r="BC14" s="218"/>
      <c r="BD14" s="220" t="str">
        <f t="shared" ca="1" si="11"/>
        <v/>
      </c>
      <c r="BE14" s="195"/>
      <c r="BF14" s="196"/>
      <c r="BG14" s="194"/>
      <c r="BH14" s="194"/>
      <c r="BI14" s="194"/>
      <c r="BJ14" s="197"/>
    </row>
    <row r="15" spans="1:70" ht="30" x14ac:dyDescent="0.25">
      <c r="A15" s="44" t="s">
        <v>405</v>
      </c>
      <c r="B15" s="58" t="s">
        <v>229</v>
      </c>
      <c r="C15" s="45">
        <v>4</v>
      </c>
      <c r="D15" s="55" t="s">
        <v>209</v>
      </c>
      <c r="E15" s="45" t="s">
        <v>20</v>
      </c>
      <c r="F15" s="46" t="str">
        <f t="shared" si="12"/>
        <v>DEFINIR CRITÉRIO</v>
      </c>
      <c r="G15" s="47" t="str">
        <f t="shared" si="13"/>
        <v>DEFINIR CRITÉRIO</v>
      </c>
      <c r="H15" s="240" t="s">
        <v>2000</v>
      </c>
      <c r="I15" s="240" t="s">
        <v>2002</v>
      </c>
      <c r="J15" s="242" t="str">
        <f>IFERROR(IF(N15&lt;&gt;"",M15,IF(I15 = PARÂMETROS!$B$5,Q15, IF(I15 = PARÂMETROS!$B$6,R15,IF(I15 = PARÂMETROS!$B$7,S15,IF(I15 = PARÂMETROS!$B$8, T15,"DEFINIR CRITÉRIO"))))),"SEM PREÇO")</f>
        <v>DEFINIR CRITÉRIO</v>
      </c>
      <c r="K15" s="241" t="str">
        <f t="shared" si="0"/>
        <v/>
      </c>
      <c r="L15" s="238" t="str">
        <f t="shared" si="1"/>
        <v/>
      </c>
      <c r="M15" s="51"/>
      <c r="N15" s="52"/>
      <c r="O15" s="53"/>
      <c r="P15" s="235">
        <f t="shared" si="2"/>
        <v>6191.666666666667</v>
      </c>
      <c r="Q15" s="236">
        <f t="shared" si="3"/>
        <v>0</v>
      </c>
      <c r="R15" s="236">
        <f t="shared" si="4"/>
        <v>0</v>
      </c>
      <c r="S15" s="236">
        <f t="shared" si="5"/>
        <v>0</v>
      </c>
      <c r="T15" s="236">
        <f t="shared" si="6"/>
        <v>0</v>
      </c>
      <c r="U15" s="237" t="e">
        <f>IF(AA15 = "", "", IF(OR($H15 = PARÂMETROS!$E$5, $H15 = ""), AA15, IF(OR(AA15 &lt; (1-VLOOKUP($H15,PARÂMETROS!$E:$F,2,FALSE))*$P15, AA15 &gt; (1+VLOOKUP($H15,PARÂMETROS!$E:$F,2,FALSE))*$P15),"",AA15)))</f>
        <v>#N/A</v>
      </c>
      <c r="V15" s="237" t="e">
        <f>IF(AG15 = "", "", IF(OR($H15 = PARÂMETROS!$E$5, $H15 = ""), AG15, IF(OR(AG15 &lt; (1-VLOOKUP($H15,PARÂMETROS!$E:$F,2,FALSE))*$P20, AG15 &gt; (1+VLOOKUP($H15,PARÂMETROS!$E:$F,2,FALSE))*$P15),"",AG15)))</f>
        <v>#N/A</v>
      </c>
      <c r="W15" s="237" t="e">
        <f>IF(AM15 = "", "", IF(OR($H15 = PARÂMETROS!$E$5, $H15 = ""), AM15, IF(OR(AM15 &lt; (1-VLOOKUP($H15,PARÂMETROS!$E:$F,2,FALSE))*$P15, AM15 &gt; (1+VLOOKUP($H15,PARÂMETROS!$E:$F,2,FALSE))*$P15),"",AM15)))</f>
        <v>#N/A</v>
      </c>
      <c r="X15" s="237" t="str">
        <f>IF(AS15 = "", "", IF(OR($H15 = PARÂMETROS!$E$5, $H15 = ""), AS15, IF(OR(AS15 &lt; (1-VLOOKUP($H15,PARÂMETROS!$E:$F,2,FALSE))*$P15, AS15 &gt; (1+VLOOKUP($H15,PARÂMETROS!$E:$F,2,FALSE))*$P15),"",AS15)))</f>
        <v/>
      </c>
      <c r="Y15" s="237" t="str">
        <f>IF(AY15 = "", "", IF(OR($H15 = PARÂMETROS!$E$5, $H15 = ""), AY15, IF(OR(AY15 &lt; (1-VLOOKUP($H15,PARÂMETROS!$E:$F,2,FALSE))*$P15, AY15 &gt; (1+VLOOKUP($H15,PARÂMETROS!$E:$F,2,FALSE))*$P15),"",AY15)))</f>
        <v/>
      </c>
      <c r="Z15" s="237" t="str">
        <f>IF(BE15 = "", "", IF(OR($H15 = PARÂMETROS!$E$5, $H15 = ""), BE15, IF(OR(BE15 &lt; (1-VLOOKUP($H15,PARÂMETROS!$E:$F,2,FALSE))*$P15, BE15 &gt; (1+VLOOKUP($H15,PARÂMETROS!$E:$F,2,FALSE))*$P15),"",BE15)))</f>
        <v/>
      </c>
      <c r="AA15" s="207">
        <v>7940</v>
      </c>
      <c r="AB15" s="205">
        <v>124</v>
      </c>
      <c r="AC15" s="206" t="e">
        <f>IF(AND(OR(AA15="",AA15=0),OR(AA15="",AB15=0)),"",IF(OR(AA15="",AA15=0),"DEFINIR PREÇO",IF(OR(AB15="",AB15=0),"DEFINIR FORNECEDOR",IF(OR(AA15&lt;&gt;"",AA15&lt;&gt;0),VLOOKUP(AB15,#REF!,2,FALSE)))))</f>
        <v>#REF!</v>
      </c>
      <c r="AD15" s="217" t="s">
        <v>1979</v>
      </c>
      <c r="AE15" s="218">
        <v>44945</v>
      </c>
      <c r="AF15" s="220" t="str">
        <f t="shared" ca="1" si="7"/>
        <v>DESATUALIZADA</v>
      </c>
      <c r="AG15" s="230">
        <v>7200</v>
      </c>
      <c r="AH15" s="231">
        <v>692</v>
      </c>
      <c r="AI15" s="206" t="e">
        <f>IF(AND(OR(AG15="",AG15=0),OR(AG15="",AH15=0)),"",IF(OR(AG15="",AG15=0),"DEFINIR PREÇO",IF(OR(AH15="",AH15=0),"DEFINIR FORNECEDOR",IF(OR(AG15&lt;&gt;"",AG15&lt;&gt;0),VLOOKUP(AH15,#REF!,2,FALSE)))))</f>
        <v>#REF!</v>
      </c>
      <c r="AJ15" s="217" t="s">
        <v>2013</v>
      </c>
      <c r="AK15" s="218">
        <v>44952</v>
      </c>
      <c r="AL15" s="220" t="str">
        <f t="shared" ca="1" si="8"/>
        <v>DESATUALIZADA</v>
      </c>
      <c r="AM15" s="229">
        <f>20610/6</f>
        <v>3435</v>
      </c>
      <c r="AN15" s="231">
        <v>6</v>
      </c>
      <c r="AO15" s="206" t="e">
        <f>IF(AND(OR(AM15="",AM15=0),OR(AM15="",AN15=0)),"",IF(OR(AM15="",AM15=0),"DEFINIR PREÇO",IF(OR(AN15="",AN15=0),"DEFINIR FORNECEDOR",IF(OR(AM15&lt;&gt;"",AM15&lt;&gt;0),VLOOKUP(AN15,#REF!,2,FALSE)))))</f>
        <v>#REF!</v>
      </c>
      <c r="AP15" s="217" t="s">
        <v>2017</v>
      </c>
      <c r="AQ15" s="218">
        <v>44945</v>
      </c>
      <c r="AR15" s="220" t="str">
        <f t="shared" ca="1" si="9"/>
        <v>DESATUALIZADA</v>
      </c>
      <c r="AS15" s="229"/>
      <c r="AT15" s="231"/>
      <c r="AU15" s="191" t="str">
        <f>IF(AND(OR(AS15="",AS15=0),OR(AS15="",AT15=0)),"",IF(OR(AS15="",AS15=0),"DEFINIR PREÇO",IF(OR(AT15="",AT15=0),"DEFINIR FORNECEDOR",IF(OR(AS15&lt;&gt;"",AS15&lt;&gt;0),VLOOKUP(AT15,#REF!,2,FALSE)))))</f>
        <v/>
      </c>
      <c r="AV15" s="217"/>
      <c r="AW15" s="218"/>
      <c r="AX15" s="220" t="str">
        <f t="shared" ca="1" si="10"/>
        <v/>
      </c>
      <c r="AY15" s="229"/>
      <c r="AZ15" s="234"/>
      <c r="BA15" s="209" t="str">
        <f>IF(AND(OR(AY15="",AY15=0),OR(AY15="",AZ15=0)),"",IF(OR(AY15="",AY15=0),"DEFINIR PREÇO",IF(OR(AZ15="",AZ15=0),"DEFINIR FORNECEDOR",IF(OR(AY15&lt;&gt;"",AY15&lt;&gt;0),VLOOKUP(AZ15,#REF!,2,FALSE)))))</f>
        <v/>
      </c>
      <c r="BB15" s="217"/>
      <c r="BC15" s="218"/>
      <c r="BD15" s="220" t="str">
        <f t="shared" ca="1" si="11"/>
        <v/>
      </c>
      <c r="BE15" s="195"/>
      <c r="BF15" s="196"/>
      <c r="BG15" s="194"/>
      <c r="BH15" s="194"/>
      <c r="BI15" s="194"/>
      <c r="BJ15" s="197"/>
    </row>
    <row r="16" spans="1:70" ht="30" x14ac:dyDescent="0.25">
      <c r="A16" s="44" t="s">
        <v>405</v>
      </c>
      <c r="B16" s="58" t="s">
        <v>230</v>
      </c>
      <c r="C16" s="45">
        <v>4</v>
      </c>
      <c r="D16" s="55" t="s">
        <v>210</v>
      </c>
      <c r="E16" s="45" t="s">
        <v>20</v>
      </c>
      <c r="F16" s="46" t="str">
        <f t="shared" si="12"/>
        <v>DEFINIR CRITÉRIO</v>
      </c>
      <c r="G16" s="47" t="str">
        <f t="shared" si="13"/>
        <v>DEFINIR CRITÉRIO</v>
      </c>
      <c r="H16" s="240" t="s">
        <v>2000</v>
      </c>
      <c r="I16" s="240" t="s">
        <v>2002</v>
      </c>
      <c r="J16" s="242" t="str">
        <f>IFERROR(IF(N16&lt;&gt;"",M16,IF(I16 = PARÂMETROS!$B$5,Q16, IF(I16 = PARÂMETROS!$B$6,R16,IF(I16 = PARÂMETROS!$B$7,S16,IF(I16 = PARÂMETROS!$B$8, T16,"DEFINIR CRITÉRIO"))))),"SEM PREÇO")</f>
        <v>DEFINIR CRITÉRIO</v>
      </c>
      <c r="K16" s="241" t="str">
        <f t="shared" si="0"/>
        <v/>
      </c>
      <c r="L16" s="238" t="str">
        <f t="shared" si="1"/>
        <v/>
      </c>
      <c r="M16" s="51"/>
      <c r="N16" s="52"/>
      <c r="O16" s="53"/>
      <c r="P16" s="235">
        <f t="shared" si="2"/>
        <v>8202.5</v>
      </c>
      <c r="Q16" s="236">
        <f t="shared" si="3"/>
        <v>0</v>
      </c>
      <c r="R16" s="236">
        <f t="shared" si="4"/>
        <v>0</v>
      </c>
      <c r="S16" s="236">
        <f t="shared" si="5"/>
        <v>0</v>
      </c>
      <c r="T16" s="236">
        <f t="shared" si="6"/>
        <v>0</v>
      </c>
      <c r="U16" s="237" t="e">
        <f>IF(AA16 = "", "", IF(OR($H16 = PARÂMETROS!$E$5, $H16 = ""), AA16, IF(OR(AA16 &lt; (1-VLOOKUP($H16,PARÂMETROS!$E:$F,2,FALSE))*$P16, AA16 &gt; (1+VLOOKUP($H16,PARÂMETROS!$E:$F,2,FALSE))*$P16),"",AA16)))</f>
        <v>#N/A</v>
      </c>
      <c r="V16" s="237" t="e">
        <f>IF(AG16 = "", "", IF(OR($H16 = PARÂMETROS!$E$5, $H16 = ""), AG16, IF(OR(AG16 &lt; (1-VLOOKUP($H16,PARÂMETROS!$E:$F,2,FALSE))*$P21, AG16 &gt; (1+VLOOKUP($H16,PARÂMETROS!$E:$F,2,FALSE))*$P16),"",AG16)))</f>
        <v>#N/A</v>
      </c>
      <c r="W16" s="237" t="str">
        <f>IF(AM16 = "", "", IF(OR($H16 = PARÂMETROS!$E$5, $H16 = ""), AM16, IF(OR(AM16 &lt; (1-VLOOKUP($H16,PARÂMETROS!$E:$F,2,FALSE))*$P16, AM16 &gt; (1+VLOOKUP($H16,PARÂMETROS!$E:$F,2,FALSE))*$P16),"",AM16)))</f>
        <v/>
      </c>
      <c r="X16" s="237" t="str">
        <f>IF(AS16 = "", "", IF(OR($H16 = PARÂMETROS!$E$5, $H16 = ""), AS16, IF(OR(AS16 &lt; (1-VLOOKUP($H16,PARÂMETROS!$E:$F,2,FALSE))*$P16, AS16 &gt; (1+VLOOKUP($H16,PARÂMETROS!$E:$F,2,FALSE))*$P16),"",AS16)))</f>
        <v/>
      </c>
      <c r="Y16" s="237" t="str">
        <f>IF(AY16 = "", "", IF(OR($H16 = PARÂMETROS!$E$5, $H16 = ""), AY16, IF(OR(AY16 &lt; (1-VLOOKUP($H16,PARÂMETROS!$E:$F,2,FALSE))*$P16, AY16 &gt; (1+VLOOKUP($H16,PARÂMETROS!$E:$F,2,FALSE))*$P16),"",AY16)))</f>
        <v/>
      </c>
      <c r="Z16" s="237" t="str">
        <f>IF(BE16 = "", "", IF(OR($H16 = PARÂMETROS!$E$5, $H16 = ""), BE16, IF(OR(BE16 &lt; (1-VLOOKUP($H16,PARÂMETROS!$E:$F,2,FALSE))*$P16, BE16 &gt; (1+VLOOKUP($H16,PARÂMETROS!$E:$F,2,FALSE))*$P16),"",BE16)))</f>
        <v/>
      </c>
      <c r="AA16" s="207">
        <v>8305</v>
      </c>
      <c r="AB16" s="205">
        <v>124</v>
      </c>
      <c r="AC16" s="206" t="e">
        <f>IF(AND(OR(AA16="",AA16=0),OR(AA16="",AB16=0)),"",IF(OR(AA16="",AA16=0),"DEFINIR PREÇO",IF(OR(AB16="",AB16=0),"DEFINIR FORNECEDOR",IF(OR(AA16&lt;&gt;"",AA16&lt;&gt;0),VLOOKUP(AB16,#REF!,2,FALSE)))))</f>
        <v>#REF!</v>
      </c>
      <c r="AD16" s="217" t="s">
        <v>1979</v>
      </c>
      <c r="AE16" s="218">
        <v>44945</v>
      </c>
      <c r="AF16" s="220" t="str">
        <f t="shared" ca="1" si="7"/>
        <v>DESATUALIZADA</v>
      </c>
      <c r="AG16" s="230">
        <v>8100</v>
      </c>
      <c r="AH16" s="231">
        <v>692</v>
      </c>
      <c r="AI16" s="206" t="e">
        <f>IF(AND(OR(AG16="",AG16=0),OR(AG16="",AH16=0)),"",IF(OR(AG16="",AG16=0),"DEFINIR PREÇO",IF(OR(AH16="",AH16=0),"DEFINIR FORNECEDOR",IF(OR(AG16&lt;&gt;"",AG16&lt;&gt;0),VLOOKUP(AH16,#REF!,2,FALSE)))))</f>
        <v>#REF!</v>
      </c>
      <c r="AJ16" s="217" t="s">
        <v>2013</v>
      </c>
      <c r="AK16" s="218">
        <v>44952</v>
      </c>
      <c r="AL16" s="220" t="str">
        <f t="shared" ca="1" si="8"/>
        <v>DESATUALIZADA</v>
      </c>
      <c r="AM16" s="230"/>
      <c r="AN16" s="231"/>
      <c r="AO16" s="206" t="str">
        <f>IF(AND(OR(AM16="",AM16=0),OR(AM16="",AN16=0)),"",IF(OR(AM16="",AM16=0),"DEFINIR PREÇO",IF(OR(AN16="",AN16=0),"DEFINIR FORNECEDOR",IF(OR(AM16&lt;&gt;"",AM16&lt;&gt;0),VLOOKUP(AN16,#REF!,2,FALSE)))))</f>
        <v/>
      </c>
      <c r="AP16" s="217"/>
      <c r="AQ16" s="218"/>
      <c r="AR16" s="220" t="str">
        <f t="shared" ca="1" si="9"/>
        <v/>
      </c>
      <c r="AS16" s="229"/>
      <c r="AT16" s="231"/>
      <c r="AU16" s="191" t="str">
        <f>IF(AND(OR(AS16="",AS16=0),OR(AS16="",AT16=0)),"",IF(OR(AS16="",AS16=0),"DEFINIR PREÇO",IF(OR(AT16="",AT16=0),"DEFINIR FORNECEDOR",IF(OR(AS16&lt;&gt;"",AS16&lt;&gt;0),VLOOKUP(AT16,#REF!,2,FALSE)))))</f>
        <v/>
      </c>
      <c r="AV16" s="217"/>
      <c r="AW16" s="218"/>
      <c r="AX16" s="220" t="str">
        <f t="shared" ca="1" si="10"/>
        <v/>
      </c>
      <c r="AY16" s="229"/>
      <c r="AZ16" s="234"/>
      <c r="BA16" s="209" t="str">
        <f>IF(AND(OR(AY16="",AY16=0),OR(AY16="",AZ16=0)),"",IF(OR(AY16="",AY16=0),"DEFINIR PREÇO",IF(OR(AZ16="",AZ16=0),"DEFINIR FORNECEDOR",IF(OR(AY16&lt;&gt;"",AY16&lt;&gt;0),VLOOKUP(AZ16,#REF!,2,FALSE)))))</f>
        <v/>
      </c>
      <c r="BB16" s="217"/>
      <c r="BC16" s="218"/>
      <c r="BD16" s="220" t="str">
        <f t="shared" ca="1" si="11"/>
        <v/>
      </c>
      <c r="BE16" s="195"/>
      <c r="BF16" s="196"/>
      <c r="BG16" s="194"/>
      <c r="BH16" s="194"/>
      <c r="BI16" s="194"/>
      <c r="BJ16" s="197"/>
    </row>
    <row r="17" spans="1:62" ht="30" x14ac:dyDescent="0.25">
      <c r="A17" s="44" t="s">
        <v>405</v>
      </c>
      <c r="B17" s="58" t="s">
        <v>231</v>
      </c>
      <c r="C17" s="45">
        <v>4</v>
      </c>
      <c r="D17" s="55" t="s">
        <v>211</v>
      </c>
      <c r="E17" s="45" t="s">
        <v>20</v>
      </c>
      <c r="F17" s="46" t="str">
        <f t="shared" si="12"/>
        <v>DEFINIR CRITÉRIO</v>
      </c>
      <c r="G17" s="47" t="str">
        <f t="shared" si="13"/>
        <v>DEFINIR CRITÉRIO</v>
      </c>
      <c r="H17" s="240" t="s">
        <v>2000</v>
      </c>
      <c r="I17" s="240" t="s">
        <v>2002</v>
      </c>
      <c r="J17" s="242" t="str">
        <f>IFERROR(IF(N17&lt;&gt;"",M17,IF(I17 = PARÂMETROS!$B$5,Q17, IF(I17 = PARÂMETROS!$B$6,R17,IF(I17 = PARÂMETROS!$B$7,S17,IF(I17 = PARÂMETROS!$B$8, T17,"DEFINIR CRITÉRIO"))))),"SEM PREÇO")</f>
        <v>DEFINIR CRITÉRIO</v>
      </c>
      <c r="K17" s="241" t="str">
        <f t="shared" si="0"/>
        <v/>
      </c>
      <c r="L17" s="238" t="str">
        <f t="shared" si="1"/>
        <v/>
      </c>
      <c r="M17" s="51"/>
      <c r="N17" s="52"/>
      <c r="O17" s="53"/>
      <c r="P17" s="235">
        <f t="shared" si="2"/>
        <v>9256</v>
      </c>
      <c r="Q17" s="236">
        <f t="shared" si="3"/>
        <v>0</v>
      </c>
      <c r="R17" s="236">
        <f t="shared" si="4"/>
        <v>0</v>
      </c>
      <c r="S17" s="236">
        <f t="shared" si="5"/>
        <v>0</v>
      </c>
      <c r="T17" s="236">
        <f t="shared" si="6"/>
        <v>0</v>
      </c>
      <c r="U17" s="237" t="e">
        <f>IF(AA17 = "", "", IF(OR($H17 = PARÂMETROS!$E$5, $H17 = ""), AA17, IF(OR(AA17 &lt; (1-VLOOKUP($H17,PARÂMETROS!$E:$F,2,FALSE))*$P17, AA17 &gt; (1+VLOOKUP($H17,PARÂMETROS!$E:$F,2,FALSE))*$P17),"",AA17)))</f>
        <v>#N/A</v>
      </c>
      <c r="V17" s="237" t="e">
        <f>IF(AG17 = "", "", IF(OR($H17 = PARÂMETROS!$E$5, $H17 = ""), AG17, IF(OR(AG17 &lt; (1-VLOOKUP($H17,PARÂMETROS!$E:$F,2,FALSE))*$P22, AG17 &gt; (1+VLOOKUP($H17,PARÂMETROS!$E:$F,2,FALSE))*$P17),"",AG17)))</f>
        <v>#N/A</v>
      </c>
      <c r="W17" s="237" t="str">
        <f>IF(AM17 = "", "", IF(OR($H17 = PARÂMETROS!$E$5, $H17 = ""), AM17, IF(OR(AM17 &lt; (1-VLOOKUP($H17,PARÂMETROS!$E:$F,2,FALSE))*$P17, AM17 &gt; (1+VLOOKUP($H17,PARÂMETROS!$E:$F,2,FALSE))*$P17),"",AM17)))</f>
        <v/>
      </c>
      <c r="X17" s="237" t="str">
        <f>IF(AS17 = "", "", IF(OR($H17 = PARÂMETROS!$E$5, $H17 = ""), AS17, IF(OR(AS17 &lt; (1-VLOOKUP($H17,PARÂMETROS!$E:$F,2,FALSE))*$P17, AS17 &gt; (1+VLOOKUP($H17,PARÂMETROS!$E:$F,2,FALSE))*$P17),"",AS17)))</f>
        <v/>
      </c>
      <c r="Y17" s="237" t="str">
        <f>IF(AY17 = "", "", IF(OR($H17 = PARÂMETROS!$E$5, $H17 = ""), AY17, IF(OR(AY17 &lt; (1-VLOOKUP($H17,PARÂMETROS!$E:$F,2,FALSE))*$P17, AY17 &gt; (1+VLOOKUP($H17,PARÂMETROS!$E:$F,2,FALSE))*$P17),"",AY17)))</f>
        <v/>
      </c>
      <c r="Z17" s="237" t="str">
        <f>IF(BE17 = "", "", IF(OR($H17 = PARÂMETROS!$E$5, $H17 = ""), BE17, IF(OR(BE17 &lt; (1-VLOOKUP($H17,PARÂMETROS!$E:$F,2,FALSE))*$P17, BE17 &gt; (1+VLOOKUP($H17,PARÂMETROS!$E:$F,2,FALSE))*$P17),"",BE17)))</f>
        <v/>
      </c>
      <c r="AA17" s="207">
        <v>9624</v>
      </c>
      <c r="AB17" s="205">
        <v>124</v>
      </c>
      <c r="AC17" s="206" t="e">
        <f>IF(AND(OR(AA17="",AA17=0),OR(AA17="",AB17=0)),"",IF(OR(AA17="",AA17=0),"DEFINIR PREÇO",IF(OR(AB17="",AB17=0),"DEFINIR FORNECEDOR",IF(OR(AA17&lt;&gt;"",AA17&lt;&gt;0),VLOOKUP(AB17,#REF!,2,FALSE)))))</f>
        <v>#REF!</v>
      </c>
      <c r="AD17" s="217" t="s">
        <v>1979</v>
      </c>
      <c r="AE17" s="218">
        <v>44945</v>
      </c>
      <c r="AF17" s="220" t="str">
        <f t="shared" ca="1" si="7"/>
        <v>DESATUALIZADA</v>
      </c>
      <c r="AG17" s="230">
        <v>8888</v>
      </c>
      <c r="AH17" s="231">
        <v>692</v>
      </c>
      <c r="AI17" s="206" t="e">
        <f>IF(AND(OR(AG17="",AG17=0),OR(AG17="",AH17=0)),"",IF(OR(AG17="",AG17=0),"DEFINIR PREÇO",IF(OR(AH17="",AH17=0),"DEFINIR FORNECEDOR",IF(OR(AG17&lt;&gt;"",AG17&lt;&gt;0),VLOOKUP(AH17,#REF!,2,FALSE)))))</f>
        <v>#REF!</v>
      </c>
      <c r="AJ17" s="217" t="s">
        <v>2013</v>
      </c>
      <c r="AK17" s="218">
        <v>44952</v>
      </c>
      <c r="AL17" s="220" t="str">
        <f t="shared" ca="1" si="8"/>
        <v>DESATUALIZADA</v>
      </c>
      <c r="AM17" s="230"/>
      <c r="AN17" s="231"/>
      <c r="AO17" s="206" t="str">
        <f>IF(AND(OR(AM17="",AM17=0),OR(AM17="",AN17=0)),"",IF(OR(AM17="",AM17=0),"DEFINIR PREÇO",IF(OR(AN17="",AN17=0),"DEFINIR FORNECEDOR",IF(OR(AM17&lt;&gt;"",AM17&lt;&gt;0),VLOOKUP(AN17,#REF!,2,FALSE)))))</f>
        <v/>
      </c>
      <c r="AP17" s="217"/>
      <c r="AQ17" s="218"/>
      <c r="AR17" s="220" t="str">
        <f t="shared" ca="1" si="9"/>
        <v/>
      </c>
      <c r="AS17" s="229"/>
      <c r="AT17" s="231"/>
      <c r="AU17" s="191" t="str">
        <f>IF(AND(OR(AS17="",AS17=0),OR(AS17="",AT17=0)),"",IF(OR(AS17="",AS17=0),"DEFINIR PREÇO",IF(OR(AT17="",AT17=0),"DEFINIR FORNECEDOR",IF(OR(AS17&lt;&gt;"",AS17&lt;&gt;0),VLOOKUP(AT17,#REF!,2,FALSE)))))</f>
        <v/>
      </c>
      <c r="AV17" s="217"/>
      <c r="AW17" s="218"/>
      <c r="AX17" s="220" t="str">
        <f t="shared" ca="1" si="10"/>
        <v/>
      </c>
      <c r="AY17" s="229"/>
      <c r="AZ17" s="234"/>
      <c r="BA17" s="209" t="str">
        <f>IF(AND(OR(AY17="",AY17=0),OR(AY17="",AZ17=0)),"",IF(OR(AY17="",AY17=0),"DEFINIR PREÇO",IF(OR(AZ17="",AZ17=0),"DEFINIR FORNECEDOR",IF(OR(AY17&lt;&gt;"",AY17&lt;&gt;0),VLOOKUP(AZ17,#REF!,2,FALSE)))))</f>
        <v/>
      </c>
      <c r="BB17" s="217"/>
      <c r="BC17" s="218"/>
      <c r="BD17" s="220" t="str">
        <f t="shared" ca="1" si="11"/>
        <v/>
      </c>
      <c r="BE17" s="195"/>
      <c r="BF17" s="196"/>
      <c r="BG17" s="194"/>
      <c r="BH17" s="194"/>
      <c r="BI17" s="194"/>
      <c r="BJ17" s="197"/>
    </row>
    <row r="18" spans="1:62" ht="30" x14ac:dyDescent="0.25">
      <c r="A18" s="44" t="s">
        <v>405</v>
      </c>
      <c r="B18" s="58" t="s">
        <v>232</v>
      </c>
      <c r="C18" s="45">
        <v>4</v>
      </c>
      <c r="D18" s="55" t="s">
        <v>212</v>
      </c>
      <c r="E18" s="45" t="s">
        <v>20</v>
      </c>
      <c r="F18" s="46" t="str">
        <f t="shared" si="12"/>
        <v>DEFINIR CRITÉRIO</v>
      </c>
      <c r="G18" s="47" t="str">
        <f t="shared" si="13"/>
        <v>DEFINIR CRITÉRIO</v>
      </c>
      <c r="H18" s="240" t="s">
        <v>2000</v>
      </c>
      <c r="I18" s="240" t="s">
        <v>2002</v>
      </c>
      <c r="J18" s="242" t="str">
        <f>IFERROR(IF(N18&lt;&gt;"",M18,IF(I18 = PARÂMETROS!$B$5,Q18, IF(I18 = PARÂMETROS!$B$6,R18,IF(I18 = PARÂMETROS!$B$7,S18,IF(I18 = PARÂMETROS!$B$8, T18,"DEFINIR CRITÉRIO"))))),"SEM PREÇO")</f>
        <v>DEFINIR CRITÉRIO</v>
      </c>
      <c r="K18" s="241" t="str">
        <f t="shared" si="0"/>
        <v/>
      </c>
      <c r="L18" s="238" t="str">
        <f t="shared" si="1"/>
        <v/>
      </c>
      <c r="M18" s="51"/>
      <c r="N18" s="52"/>
      <c r="O18" s="53"/>
      <c r="P18" s="235">
        <f t="shared" si="2"/>
        <v>10052</v>
      </c>
      <c r="Q18" s="236">
        <f t="shared" si="3"/>
        <v>0</v>
      </c>
      <c r="R18" s="236">
        <f t="shared" si="4"/>
        <v>0</v>
      </c>
      <c r="S18" s="236">
        <f t="shared" si="5"/>
        <v>0</v>
      </c>
      <c r="T18" s="236">
        <f t="shared" si="6"/>
        <v>0</v>
      </c>
      <c r="U18" s="237" t="e">
        <f>IF(AA18 = "", "", IF(OR($H18 = PARÂMETROS!$E$5, $H18 = ""), AA18, IF(OR(AA18 &lt; (1-VLOOKUP($H18,PARÂMETROS!$E:$F,2,FALSE))*$P18, AA18 &gt; (1+VLOOKUP($H18,PARÂMETROS!$E:$F,2,FALSE))*$P18),"",AA18)))</f>
        <v>#N/A</v>
      </c>
      <c r="V18" s="237" t="e">
        <f>IF(AG18 = "", "", IF(OR($H18 = PARÂMETROS!$E$5, $H18 = ""), AG18, IF(OR(AG18 &lt; (1-VLOOKUP($H18,PARÂMETROS!$E:$F,2,FALSE))*$P23, AG18 &gt; (1+VLOOKUP($H18,PARÂMETROS!$E:$F,2,FALSE))*$P18),"",AG18)))</f>
        <v>#N/A</v>
      </c>
      <c r="W18" s="237" t="str">
        <f>IF(AM18 = "", "", IF(OR($H18 = PARÂMETROS!$E$5, $H18 = ""), AM18, IF(OR(AM18 &lt; (1-VLOOKUP($H18,PARÂMETROS!$E:$F,2,FALSE))*$P18, AM18 &gt; (1+VLOOKUP($H18,PARÂMETROS!$E:$F,2,FALSE))*$P18),"",AM18)))</f>
        <v/>
      </c>
      <c r="X18" s="237" t="str">
        <f>IF(AS18 = "", "", IF(OR($H18 = PARÂMETROS!$E$5, $H18 = ""), AS18, IF(OR(AS18 &lt; (1-VLOOKUP($H18,PARÂMETROS!$E:$F,2,FALSE))*$P18, AS18 &gt; (1+VLOOKUP($H18,PARÂMETROS!$E:$F,2,FALSE))*$P18),"",AS18)))</f>
        <v/>
      </c>
      <c r="Y18" s="237" t="str">
        <f>IF(AY18 = "", "", IF(OR($H18 = PARÂMETROS!$E$5, $H18 = ""), AY18, IF(OR(AY18 &lt; (1-VLOOKUP($H18,PARÂMETROS!$E:$F,2,FALSE))*$P18, AY18 &gt; (1+VLOOKUP($H18,PARÂMETROS!$E:$F,2,FALSE))*$P18),"",AY18)))</f>
        <v/>
      </c>
      <c r="Z18" s="237" t="str">
        <f>IF(BE18 = "", "", IF(OR($H18 = PARÂMETROS!$E$5, $H18 = ""), BE18, IF(OR(BE18 &lt; (1-VLOOKUP($H18,PARÂMETROS!$E:$F,2,FALSE))*$P18, BE18 &gt; (1+VLOOKUP($H18,PARÂMETROS!$E:$F,2,FALSE))*$P18),"",BE18)))</f>
        <v/>
      </c>
      <c r="AA18" s="207">
        <v>10504</v>
      </c>
      <c r="AB18" s="205">
        <v>124</v>
      </c>
      <c r="AC18" s="206" t="e">
        <f>IF(AND(OR(AA18="",AA18=0),OR(AA18="",AB18=0)),"",IF(OR(AA18="",AA18=0),"DEFINIR PREÇO",IF(OR(AB18="",AB18=0),"DEFINIR FORNECEDOR",IF(OR(AA18&lt;&gt;"",AA18&lt;&gt;0),VLOOKUP(AB18,#REF!,2,FALSE)))))</f>
        <v>#REF!</v>
      </c>
      <c r="AD18" s="217" t="s">
        <v>1979</v>
      </c>
      <c r="AE18" s="218">
        <v>44945</v>
      </c>
      <c r="AF18" s="220" t="str">
        <f t="shared" ca="1" si="7"/>
        <v>DESATUALIZADA</v>
      </c>
      <c r="AG18" s="230">
        <v>9600</v>
      </c>
      <c r="AH18" s="231">
        <v>692</v>
      </c>
      <c r="AI18" s="206" t="e">
        <f>IF(AND(OR(AG18="",AG18=0),OR(AG18="",AH18=0)),"",IF(OR(AG18="",AG18=0),"DEFINIR PREÇO",IF(OR(AH18="",AH18=0),"DEFINIR FORNECEDOR",IF(OR(AG18&lt;&gt;"",AG18&lt;&gt;0),VLOOKUP(AH18,#REF!,2,FALSE)))))</f>
        <v>#REF!</v>
      </c>
      <c r="AJ18" s="217" t="s">
        <v>2013</v>
      </c>
      <c r="AK18" s="218">
        <v>44952</v>
      </c>
      <c r="AL18" s="220" t="str">
        <f t="shared" ca="1" si="8"/>
        <v>DESATUALIZADA</v>
      </c>
      <c r="AM18" s="230"/>
      <c r="AN18" s="231"/>
      <c r="AO18" s="206" t="str">
        <f>IF(AND(OR(AM18="",AM18=0),OR(AM18="",AN18=0)),"",IF(OR(AM18="",AM18=0),"DEFINIR PREÇO",IF(OR(AN18="",AN18=0),"DEFINIR FORNECEDOR",IF(OR(AM18&lt;&gt;"",AM18&lt;&gt;0),VLOOKUP(AN18,#REF!,2,FALSE)))))</f>
        <v/>
      </c>
      <c r="AP18" s="217"/>
      <c r="AQ18" s="218"/>
      <c r="AR18" s="220" t="str">
        <f t="shared" ca="1" si="9"/>
        <v/>
      </c>
      <c r="AS18" s="229"/>
      <c r="AT18" s="231"/>
      <c r="AU18" s="191" t="str">
        <f>IF(AND(OR(AS18="",AS18=0),OR(AS18="",AT18=0)),"",IF(OR(AS18="",AS18=0),"DEFINIR PREÇO",IF(OR(AT18="",AT18=0),"DEFINIR FORNECEDOR",IF(OR(AS18&lt;&gt;"",AS18&lt;&gt;0),VLOOKUP(AT18,#REF!,2,FALSE)))))</f>
        <v/>
      </c>
      <c r="AV18" s="217"/>
      <c r="AW18" s="218"/>
      <c r="AX18" s="220" t="str">
        <f t="shared" ca="1" si="10"/>
        <v/>
      </c>
      <c r="AY18" s="229"/>
      <c r="AZ18" s="234"/>
      <c r="BA18" s="209" t="str">
        <f>IF(AND(OR(AY18="",AY18=0),OR(AY18="",AZ18=0)),"",IF(OR(AY18="",AY18=0),"DEFINIR PREÇO",IF(OR(AZ18="",AZ18=0),"DEFINIR FORNECEDOR",IF(OR(AY18&lt;&gt;"",AY18&lt;&gt;0),VLOOKUP(AZ18,#REF!,2,FALSE)))))</f>
        <v/>
      </c>
      <c r="BB18" s="217"/>
      <c r="BC18" s="218"/>
      <c r="BD18" s="220" t="str">
        <f t="shared" ca="1" si="11"/>
        <v/>
      </c>
      <c r="BE18" s="195"/>
      <c r="BF18" s="196"/>
      <c r="BG18" s="194"/>
      <c r="BH18" s="194"/>
      <c r="BI18" s="194"/>
      <c r="BJ18" s="197"/>
    </row>
    <row r="19" spans="1:62" ht="30" x14ac:dyDescent="0.25">
      <c r="A19" s="44" t="s">
        <v>405</v>
      </c>
      <c r="B19" s="58" t="s">
        <v>233</v>
      </c>
      <c r="C19" s="45">
        <v>4</v>
      </c>
      <c r="D19" s="55" t="s">
        <v>213</v>
      </c>
      <c r="E19" s="45" t="s">
        <v>20</v>
      </c>
      <c r="F19" s="46" t="str">
        <f t="shared" si="12"/>
        <v>DEFINIR CRITÉRIO</v>
      </c>
      <c r="G19" s="47" t="str">
        <f t="shared" si="13"/>
        <v>DEFINIR CRITÉRIO</v>
      </c>
      <c r="H19" s="240" t="s">
        <v>2000</v>
      </c>
      <c r="I19" s="240" t="s">
        <v>2002</v>
      </c>
      <c r="J19" s="242" t="str">
        <f>IFERROR(IF(N19&lt;&gt;"",M19,IF(I19 = PARÂMETROS!$B$5,Q19, IF(I19 = PARÂMETROS!$B$6,R19,IF(I19 = PARÂMETROS!$B$7,S19,IF(I19 = PARÂMETROS!$B$8, T19,"DEFINIR CRITÉRIO"))))),"SEM PREÇO")</f>
        <v>DEFINIR CRITÉRIO</v>
      </c>
      <c r="K19" s="241" t="str">
        <f t="shared" si="0"/>
        <v/>
      </c>
      <c r="L19" s="238" t="str">
        <f t="shared" si="1"/>
        <v/>
      </c>
      <c r="M19" s="51"/>
      <c r="N19" s="52"/>
      <c r="O19" s="53"/>
      <c r="P19" s="235">
        <f t="shared" si="2"/>
        <v>10880</v>
      </c>
      <c r="Q19" s="236">
        <f t="shared" si="3"/>
        <v>0</v>
      </c>
      <c r="R19" s="236">
        <f t="shared" si="4"/>
        <v>0</v>
      </c>
      <c r="S19" s="236">
        <f t="shared" si="5"/>
        <v>0</v>
      </c>
      <c r="T19" s="236">
        <f t="shared" si="6"/>
        <v>0</v>
      </c>
      <c r="U19" s="237" t="e">
        <f>IF(AA19 = "", "", IF(OR($H19 = PARÂMETROS!$E$5, $H19 = ""), AA19, IF(OR(AA19 &lt; (1-VLOOKUP($H19,PARÂMETROS!$E:$F,2,FALSE))*$P19, AA19 &gt; (1+VLOOKUP($H19,PARÂMETROS!$E:$F,2,FALSE))*$P19),"",AA19)))</f>
        <v>#N/A</v>
      </c>
      <c r="V19" s="237" t="e">
        <f>IF(AG19 = "", "", IF(OR($H19 = PARÂMETROS!$E$5, $H19 = ""), AG19, IF(OR(AG19 &lt; (1-VLOOKUP($H19,PARÂMETROS!$E:$F,2,FALSE))*$P24, AG19 &gt; (1+VLOOKUP($H19,PARÂMETROS!$E:$F,2,FALSE))*$P19),"",AG19)))</f>
        <v>#N/A</v>
      </c>
      <c r="W19" s="237" t="str">
        <f>IF(AM19 = "", "", IF(OR($H19 = PARÂMETROS!$E$5, $H19 = ""), AM19, IF(OR(AM19 &lt; (1-VLOOKUP($H19,PARÂMETROS!$E:$F,2,FALSE))*$P19, AM19 &gt; (1+VLOOKUP($H19,PARÂMETROS!$E:$F,2,FALSE))*$P19),"",AM19)))</f>
        <v/>
      </c>
      <c r="X19" s="237" t="str">
        <f>IF(AS19 = "", "", IF(OR($H19 = PARÂMETROS!$E$5, $H19 = ""), AS19, IF(OR(AS19 &lt; (1-VLOOKUP($H19,PARÂMETROS!$E:$F,2,FALSE))*$P19, AS19 &gt; (1+VLOOKUP($H19,PARÂMETROS!$E:$F,2,FALSE))*$P19),"",AS19)))</f>
        <v/>
      </c>
      <c r="Y19" s="237" t="str">
        <f>IF(AY19 = "", "", IF(OR($H19 = PARÂMETROS!$E$5, $H19 = ""), AY19, IF(OR(AY19 &lt; (1-VLOOKUP($H19,PARÂMETROS!$E:$F,2,FALSE))*$P19, AY19 &gt; (1+VLOOKUP($H19,PARÂMETROS!$E:$F,2,FALSE))*$P19),"",AY19)))</f>
        <v/>
      </c>
      <c r="Z19" s="237" t="str">
        <f>IF(BE19 = "", "", IF(OR($H19 = PARÂMETROS!$E$5, $H19 = ""), BE19, IF(OR(BE19 &lt; (1-VLOOKUP($H19,PARÂMETROS!$E:$F,2,FALSE))*$P19, BE19 &gt; (1+VLOOKUP($H19,PARÂMETROS!$E:$F,2,FALSE))*$P19),"",BE19)))</f>
        <v/>
      </c>
      <c r="AA19" s="207">
        <v>11394</v>
      </c>
      <c r="AB19" s="205">
        <v>124</v>
      </c>
      <c r="AC19" s="206" t="e">
        <f>IF(AND(OR(AA19="",AA19=0),OR(AA19="",AB19=0)),"",IF(OR(AA19="",AA19=0),"DEFINIR PREÇO",IF(OR(AB19="",AB19=0),"DEFINIR FORNECEDOR",IF(OR(AA19&lt;&gt;"",AA19&lt;&gt;0),VLOOKUP(AB19,#REF!,2,FALSE)))))</f>
        <v>#REF!</v>
      </c>
      <c r="AD19" s="217" t="s">
        <v>1979</v>
      </c>
      <c r="AE19" s="218">
        <v>44945</v>
      </c>
      <c r="AF19" s="220" t="str">
        <f t="shared" ca="1" si="7"/>
        <v>DESATUALIZADA</v>
      </c>
      <c r="AG19" s="230">
        <v>10366</v>
      </c>
      <c r="AH19" s="231">
        <v>692</v>
      </c>
      <c r="AI19" s="206" t="e">
        <f>IF(AND(OR(AG19="",AG19=0),OR(AG19="",AH19=0)),"",IF(OR(AG19="",AG19=0),"DEFINIR PREÇO",IF(OR(AH19="",AH19=0),"DEFINIR FORNECEDOR",IF(OR(AG19&lt;&gt;"",AG19&lt;&gt;0),VLOOKUP(AH19,#REF!,2,FALSE)))))</f>
        <v>#REF!</v>
      </c>
      <c r="AJ19" s="217" t="s">
        <v>2013</v>
      </c>
      <c r="AK19" s="218">
        <v>44952</v>
      </c>
      <c r="AL19" s="220" t="str">
        <f t="shared" ca="1" si="8"/>
        <v>DESATUALIZADA</v>
      </c>
      <c r="AM19" s="230"/>
      <c r="AN19" s="231"/>
      <c r="AO19" s="206" t="str">
        <f>IF(AND(OR(AM19="",AM19=0),OR(AM19="",AN19=0)),"",IF(OR(AM19="",AM19=0),"DEFINIR PREÇO",IF(OR(AN19="",AN19=0),"DEFINIR FORNECEDOR",IF(OR(AM19&lt;&gt;"",AM19&lt;&gt;0),VLOOKUP(AN19,#REF!,2,FALSE)))))</f>
        <v/>
      </c>
      <c r="AP19" s="217"/>
      <c r="AQ19" s="218"/>
      <c r="AR19" s="220" t="str">
        <f t="shared" ca="1" si="9"/>
        <v/>
      </c>
      <c r="AS19" s="229"/>
      <c r="AT19" s="231"/>
      <c r="AU19" s="191" t="str">
        <f>IF(AND(OR(AS19="",AS19=0),OR(AS19="",AT19=0)),"",IF(OR(AS19="",AS19=0),"DEFINIR PREÇO",IF(OR(AT19="",AT19=0),"DEFINIR FORNECEDOR",IF(OR(AS19&lt;&gt;"",AS19&lt;&gt;0),VLOOKUP(AT19,#REF!,2,FALSE)))))</f>
        <v/>
      </c>
      <c r="AV19" s="217"/>
      <c r="AW19" s="218"/>
      <c r="AX19" s="220" t="str">
        <f t="shared" ca="1" si="10"/>
        <v/>
      </c>
      <c r="AY19" s="229"/>
      <c r="AZ19" s="234"/>
      <c r="BA19" s="209" t="str">
        <f>IF(AND(OR(AY19="",AY19=0),OR(AY19="",AZ19=0)),"",IF(OR(AY19="",AY19=0),"DEFINIR PREÇO",IF(OR(AZ19="",AZ19=0),"DEFINIR FORNECEDOR",IF(OR(AY19&lt;&gt;"",AY19&lt;&gt;0),VLOOKUP(AZ19,#REF!,2,FALSE)))))</f>
        <v/>
      </c>
      <c r="BB19" s="217"/>
      <c r="BC19" s="218"/>
      <c r="BD19" s="220" t="str">
        <f t="shared" ca="1" si="11"/>
        <v/>
      </c>
      <c r="BE19" s="195"/>
      <c r="BF19" s="196"/>
      <c r="BG19" s="194"/>
      <c r="BH19" s="194"/>
      <c r="BI19" s="194"/>
      <c r="BJ19" s="197"/>
    </row>
    <row r="20" spans="1:62" ht="30" x14ac:dyDescent="0.25">
      <c r="A20" s="44" t="s">
        <v>405</v>
      </c>
      <c r="B20" s="58" t="s">
        <v>234</v>
      </c>
      <c r="C20" s="45">
        <v>4</v>
      </c>
      <c r="D20" s="55" t="s">
        <v>214</v>
      </c>
      <c r="E20" s="45" t="s">
        <v>20</v>
      </c>
      <c r="F20" s="46" t="str">
        <f t="shared" si="12"/>
        <v>DEFINIR CRITÉRIO</v>
      </c>
      <c r="G20" s="47" t="str">
        <f t="shared" si="13"/>
        <v>DEFINIR CRITÉRIO</v>
      </c>
      <c r="H20" s="240" t="s">
        <v>2000</v>
      </c>
      <c r="I20" s="240" t="s">
        <v>2002</v>
      </c>
      <c r="J20" s="242" t="str">
        <f>IFERROR(IF(N20&lt;&gt;"",M20,IF(I20 = PARÂMETROS!$B$5,Q20, IF(I20 = PARÂMETROS!$B$6,R20,IF(I20 = PARÂMETROS!$B$7,S20,IF(I20 = PARÂMETROS!$B$8, T20,"DEFINIR CRITÉRIO"))))),"SEM PREÇO")</f>
        <v>DEFINIR CRITÉRIO</v>
      </c>
      <c r="K20" s="241" t="str">
        <f t="shared" si="0"/>
        <v/>
      </c>
      <c r="L20" s="238" t="str">
        <f t="shared" si="1"/>
        <v/>
      </c>
      <c r="M20" s="51"/>
      <c r="N20" s="52"/>
      <c r="O20" s="53"/>
      <c r="P20" s="235">
        <f t="shared" si="2"/>
        <v>11717.5</v>
      </c>
      <c r="Q20" s="236">
        <f t="shared" si="3"/>
        <v>0</v>
      </c>
      <c r="R20" s="236">
        <f t="shared" si="4"/>
        <v>0</v>
      </c>
      <c r="S20" s="236">
        <f t="shared" si="5"/>
        <v>0</v>
      </c>
      <c r="T20" s="236">
        <f t="shared" si="6"/>
        <v>0</v>
      </c>
      <c r="U20" s="237" t="e">
        <f>IF(AA20 = "", "", IF(OR($H20 = PARÂMETROS!$E$5, $H20 = ""), AA20, IF(OR(AA20 &lt; (1-VLOOKUP($H20,PARÂMETROS!$E:$F,2,FALSE))*$P20, AA20 &gt; (1+VLOOKUP($H20,PARÂMETROS!$E:$F,2,FALSE))*$P20),"",AA20)))</f>
        <v>#N/A</v>
      </c>
      <c r="V20" s="237" t="e">
        <f>IF(AG20 = "", "", IF(OR($H20 = PARÂMETROS!$E$5, $H20 = ""), AG20, IF(OR(AG20 &lt; (1-VLOOKUP($H20,PARÂMETROS!$E:$F,2,FALSE))*$P25, AG20 &gt; (1+VLOOKUP($H20,PARÂMETROS!$E:$F,2,FALSE))*$P20),"",AG20)))</f>
        <v>#N/A</v>
      </c>
      <c r="W20" s="237" t="str">
        <f>IF(AM20 = "", "", IF(OR($H20 = PARÂMETROS!$E$5, $H20 = ""), AM20, IF(OR(AM20 &lt; (1-VLOOKUP($H20,PARÂMETROS!$E:$F,2,FALSE))*$P20, AM20 &gt; (1+VLOOKUP($H20,PARÂMETROS!$E:$F,2,FALSE))*$P20),"",AM20)))</f>
        <v/>
      </c>
      <c r="X20" s="237" t="str">
        <f>IF(AS20 = "", "", IF(OR($H20 = PARÂMETROS!$E$5, $H20 = ""), AS20, IF(OR(AS20 &lt; (1-VLOOKUP($H20,PARÂMETROS!$E:$F,2,FALSE))*$P20, AS20 &gt; (1+VLOOKUP($H20,PARÂMETROS!$E:$F,2,FALSE))*$P20),"",AS20)))</f>
        <v/>
      </c>
      <c r="Y20" s="237" t="str">
        <f>IF(AY20 = "", "", IF(OR($H20 = PARÂMETROS!$E$5, $H20 = ""), AY20, IF(OR(AY20 &lt; (1-VLOOKUP($H20,PARÂMETROS!$E:$F,2,FALSE))*$P20, AY20 &gt; (1+VLOOKUP($H20,PARÂMETROS!$E:$F,2,FALSE))*$P20),"",AY20)))</f>
        <v/>
      </c>
      <c r="Z20" s="237" t="str">
        <f>IF(BE20 = "", "", IF(OR($H20 = PARÂMETROS!$E$5, $H20 = ""), BE20, IF(OR(BE20 &lt; (1-VLOOKUP($H20,PARÂMETROS!$E:$F,2,FALSE))*$P20, BE20 &gt; (1+VLOOKUP($H20,PARÂMETROS!$E:$F,2,FALSE))*$P20),"",BE20)))</f>
        <v/>
      </c>
      <c r="AA20" s="207">
        <v>12270</v>
      </c>
      <c r="AB20" s="205">
        <v>124</v>
      </c>
      <c r="AC20" s="206" t="e">
        <f>IF(AND(OR(AA20="",AA20=0),OR(AA20="",AB20=0)),"",IF(OR(AA20="",AA20=0),"DEFINIR PREÇO",IF(OR(AB20="",AB20=0),"DEFINIR FORNECEDOR",IF(OR(AA20&lt;&gt;"",AA20&lt;&gt;0),VLOOKUP(AB20,#REF!,2,FALSE)))))</f>
        <v>#REF!</v>
      </c>
      <c r="AD20" s="217" t="s">
        <v>1979</v>
      </c>
      <c r="AE20" s="218">
        <v>44945</v>
      </c>
      <c r="AF20" s="220" t="str">
        <f t="shared" ca="1" si="7"/>
        <v>DESATUALIZADA</v>
      </c>
      <c r="AG20" s="230">
        <v>11165</v>
      </c>
      <c r="AH20" s="231">
        <v>692</v>
      </c>
      <c r="AI20" s="206" t="e">
        <f>IF(AND(OR(AG20="",AG20=0),OR(AG20="",AH20=0)),"",IF(OR(AG20="",AG20=0),"DEFINIR PREÇO",IF(OR(AH20="",AH20=0),"DEFINIR FORNECEDOR",IF(OR(AG20&lt;&gt;"",AG20&lt;&gt;0),VLOOKUP(AH20,#REF!,2,FALSE)))))</f>
        <v>#REF!</v>
      </c>
      <c r="AJ20" s="217" t="s">
        <v>2013</v>
      </c>
      <c r="AK20" s="218">
        <v>44952</v>
      </c>
      <c r="AL20" s="220" t="str">
        <f t="shared" ca="1" si="8"/>
        <v>DESATUALIZADA</v>
      </c>
      <c r="AM20" s="230"/>
      <c r="AN20" s="231"/>
      <c r="AO20" s="206" t="str">
        <f>IF(AND(OR(AM20="",AM20=0),OR(AM20="",AN20=0)),"",IF(OR(AM20="",AM20=0),"DEFINIR PREÇO",IF(OR(AN20="",AN20=0),"DEFINIR FORNECEDOR",IF(OR(AM20&lt;&gt;"",AM20&lt;&gt;0),VLOOKUP(AN20,#REF!,2,FALSE)))))</f>
        <v/>
      </c>
      <c r="AP20" s="217"/>
      <c r="AQ20" s="218"/>
      <c r="AR20" s="220" t="str">
        <f t="shared" ca="1" si="9"/>
        <v/>
      </c>
      <c r="AS20" s="229"/>
      <c r="AT20" s="231"/>
      <c r="AU20" s="191" t="str">
        <f>IF(AND(OR(AS20="",AS20=0),OR(AS20="",AT20=0)),"",IF(OR(AS20="",AS20=0),"DEFINIR PREÇO",IF(OR(AT20="",AT20=0),"DEFINIR FORNECEDOR",IF(OR(AS20&lt;&gt;"",AS20&lt;&gt;0),VLOOKUP(AT20,#REF!,2,FALSE)))))</f>
        <v/>
      </c>
      <c r="AV20" s="217"/>
      <c r="AW20" s="218"/>
      <c r="AX20" s="220" t="str">
        <f t="shared" ca="1" si="10"/>
        <v/>
      </c>
      <c r="AY20" s="229"/>
      <c r="AZ20" s="234"/>
      <c r="BA20" s="209" t="str">
        <f>IF(AND(OR(AY20="",AY20=0),OR(AY20="",AZ20=0)),"",IF(OR(AY20="",AY20=0),"DEFINIR PREÇO",IF(OR(AZ20="",AZ20=0),"DEFINIR FORNECEDOR",IF(OR(AY20&lt;&gt;"",AY20&lt;&gt;0),VLOOKUP(AZ20,#REF!,2,FALSE)))))</f>
        <v/>
      </c>
      <c r="BB20" s="217"/>
      <c r="BC20" s="218"/>
      <c r="BD20" s="220" t="str">
        <f t="shared" ca="1" si="11"/>
        <v/>
      </c>
      <c r="BE20" s="195"/>
      <c r="BF20" s="196"/>
      <c r="BG20" s="194"/>
      <c r="BH20" s="194"/>
      <c r="BI20" s="194"/>
      <c r="BJ20" s="197"/>
    </row>
    <row r="21" spans="1:62" ht="30" x14ac:dyDescent="0.25">
      <c r="A21" s="44" t="s">
        <v>405</v>
      </c>
      <c r="B21" s="58" t="s">
        <v>235</v>
      </c>
      <c r="C21" s="45">
        <v>4</v>
      </c>
      <c r="D21" s="55" t="s">
        <v>215</v>
      </c>
      <c r="E21" s="45" t="s">
        <v>20</v>
      </c>
      <c r="F21" s="46" t="str">
        <f t="shared" si="12"/>
        <v>DEFINIR CRITÉRIO</v>
      </c>
      <c r="G21" s="47" t="str">
        <f t="shared" si="13"/>
        <v>DEFINIR CRITÉRIO</v>
      </c>
      <c r="H21" s="240" t="s">
        <v>2000</v>
      </c>
      <c r="I21" s="240" t="s">
        <v>2002</v>
      </c>
      <c r="J21" s="242" t="str">
        <f>IFERROR(IF(N21&lt;&gt;"",M21,IF(I21 = PARÂMETROS!$B$5,Q21, IF(I21 = PARÂMETROS!$B$6,R21,IF(I21 = PARÂMETROS!$B$7,S21,IF(I21 = PARÂMETROS!$B$8, T21,"DEFINIR CRITÉRIO"))))),"SEM PREÇO")</f>
        <v>DEFINIR CRITÉRIO</v>
      </c>
      <c r="K21" s="241" t="str">
        <f t="shared" si="0"/>
        <v/>
      </c>
      <c r="L21" s="238" t="str">
        <f t="shared" si="1"/>
        <v/>
      </c>
      <c r="M21" s="51"/>
      <c r="N21" s="52"/>
      <c r="O21" s="53"/>
      <c r="P21" s="235">
        <f t="shared" si="2"/>
        <v>12587.5</v>
      </c>
      <c r="Q21" s="236">
        <f t="shared" si="3"/>
        <v>0</v>
      </c>
      <c r="R21" s="236">
        <f t="shared" si="4"/>
        <v>0</v>
      </c>
      <c r="S21" s="236">
        <f t="shared" si="5"/>
        <v>0</v>
      </c>
      <c r="T21" s="236">
        <f t="shared" si="6"/>
        <v>0</v>
      </c>
      <c r="U21" s="237" t="e">
        <f>IF(AA21 = "", "", IF(OR($H21 = PARÂMETROS!$E$5, $H21 = ""), AA21, IF(OR(AA21 &lt; (1-VLOOKUP($H21,PARÂMETROS!$E:$F,2,FALSE))*$P21, AA21 &gt; (1+VLOOKUP($H21,PARÂMETROS!$E:$F,2,FALSE))*$P21),"",AA21)))</f>
        <v>#N/A</v>
      </c>
      <c r="V21" s="237" t="e">
        <f>IF(AG21 = "", "", IF(OR($H21 = PARÂMETROS!$E$5, $H21 = ""), AG21, IF(OR(AG21 &lt; (1-VLOOKUP($H21,PARÂMETROS!$E:$F,2,FALSE))*$P26, AG21 &gt; (1+VLOOKUP($H21,PARÂMETROS!$E:$F,2,FALSE))*$P21),"",AG21)))</f>
        <v>#N/A</v>
      </c>
      <c r="W21" s="237" t="str">
        <f>IF(AM21 = "", "", IF(OR($H21 = PARÂMETROS!$E$5, $H21 = ""), AM21, IF(OR(AM21 &lt; (1-VLOOKUP($H21,PARÂMETROS!$E:$F,2,FALSE))*$P21, AM21 &gt; (1+VLOOKUP($H21,PARÂMETROS!$E:$F,2,FALSE))*$P21),"",AM21)))</f>
        <v/>
      </c>
      <c r="X21" s="237" t="str">
        <f>IF(AS21 = "", "", IF(OR($H21 = PARÂMETROS!$E$5, $H21 = ""), AS21, IF(OR(AS21 &lt; (1-VLOOKUP($H21,PARÂMETROS!$E:$F,2,FALSE))*$P21, AS21 &gt; (1+VLOOKUP($H21,PARÂMETROS!$E:$F,2,FALSE))*$P21),"",AS21)))</f>
        <v/>
      </c>
      <c r="Y21" s="237" t="str">
        <f>IF(AY21 = "", "", IF(OR($H21 = PARÂMETROS!$E$5, $H21 = ""), AY21, IF(OR(AY21 &lt; (1-VLOOKUP($H21,PARÂMETROS!$E:$F,2,FALSE))*$P21, AY21 &gt; (1+VLOOKUP($H21,PARÂMETROS!$E:$F,2,FALSE))*$P21),"",AY21)))</f>
        <v/>
      </c>
      <c r="Z21" s="237" t="str">
        <f>IF(BE21 = "", "", IF(OR($H21 = PARÂMETROS!$E$5, $H21 = ""), BE21, IF(OR(BE21 &lt; (1-VLOOKUP($H21,PARÂMETROS!$E:$F,2,FALSE))*$P21, BE21 &gt; (1+VLOOKUP($H21,PARÂMETROS!$E:$F,2,FALSE))*$P21),"",BE21)))</f>
        <v/>
      </c>
      <c r="AA21" s="207">
        <v>13165</v>
      </c>
      <c r="AB21" s="205">
        <v>124</v>
      </c>
      <c r="AC21" s="206" t="e">
        <f>IF(AND(OR(AA21="",AA21=0),OR(AA21="",AB21=0)),"",IF(OR(AA21="",AA21=0),"DEFINIR PREÇO",IF(OR(AB21="",AB21=0),"DEFINIR FORNECEDOR",IF(OR(AA21&lt;&gt;"",AA21&lt;&gt;0),VLOOKUP(AB21,#REF!,2,FALSE)))))</f>
        <v>#REF!</v>
      </c>
      <c r="AD21" s="217" t="s">
        <v>1979</v>
      </c>
      <c r="AE21" s="218">
        <v>44945</v>
      </c>
      <c r="AF21" s="220" t="str">
        <f t="shared" ca="1" si="7"/>
        <v>DESATUALIZADA</v>
      </c>
      <c r="AG21" s="230">
        <v>12010</v>
      </c>
      <c r="AH21" s="231">
        <v>692</v>
      </c>
      <c r="AI21" s="206" t="e">
        <f>IF(AND(OR(AG21="",AG21=0),OR(AG21="",AH21=0)),"",IF(OR(AG21="",AG21=0),"DEFINIR PREÇO",IF(OR(AH21="",AH21=0),"DEFINIR FORNECEDOR",IF(OR(AG21&lt;&gt;"",AG21&lt;&gt;0),VLOOKUP(AH21,#REF!,2,FALSE)))))</f>
        <v>#REF!</v>
      </c>
      <c r="AJ21" s="217" t="s">
        <v>2013</v>
      </c>
      <c r="AK21" s="218">
        <v>44952</v>
      </c>
      <c r="AL21" s="220" t="str">
        <f t="shared" ca="1" si="8"/>
        <v>DESATUALIZADA</v>
      </c>
      <c r="AM21" s="230"/>
      <c r="AN21" s="231"/>
      <c r="AO21" s="206" t="str">
        <f>IF(AND(OR(AM21="",AM21=0),OR(AM21="",AN21=0)),"",IF(OR(AM21="",AM21=0),"DEFINIR PREÇO",IF(OR(AN21="",AN21=0),"DEFINIR FORNECEDOR",IF(OR(AM21&lt;&gt;"",AM21&lt;&gt;0),VLOOKUP(AN21,#REF!,2,FALSE)))))</f>
        <v/>
      </c>
      <c r="AP21" s="217"/>
      <c r="AQ21" s="218"/>
      <c r="AR21" s="220" t="str">
        <f t="shared" ca="1" si="9"/>
        <v/>
      </c>
      <c r="AS21" s="229"/>
      <c r="AT21" s="231"/>
      <c r="AU21" s="191" t="str">
        <f>IF(AND(OR(AS21="",AS21=0),OR(AS21="",AT21=0)),"",IF(OR(AS21="",AS21=0),"DEFINIR PREÇO",IF(OR(AT21="",AT21=0),"DEFINIR FORNECEDOR",IF(OR(AS21&lt;&gt;"",AS21&lt;&gt;0),VLOOKUP(AT21,#REF!,2,FALSE)))))</f>
        <v/>
      </c>
      <c r="AV21" s="217"/>
      <c r="AW21" s="218"/>
      <c r="AX21" s="220" t="str">
        <f t="shared" ca="1" si="10"/>
        <v/>
      </c>
      <c r="AY21" s="229"/>
      <c r="AZ21" s="234"/>
      <c r="BA21" s="209" t="str">
        <f>IF(AND(OR(AY21="",AY21=0),OR(AY21="",AZ21=0)),"",IF(OR(AY21="",AY21=0),"DEFINIR PREÇO",IF(OR(AZ21="",AZ21=0),"DEFINIR FORNECEDOR",IF(OR(AY21&lt;&gt;"",AY21&lt;&gt;0),VLOOKUP(AZ21,#REF!,2,FALSE)))))</f>
        <v/>
      </c>
      <c r="BB21" s="217"/>
      <c r="BC21" s="218"/>
      <c r="BD21" s="220" t="str">
        <f t="shared" ca="1" si="11"/>
        <v/>
      </c>
      <c r="BE21" s="195"/>
      <c r="BF21" s="196"/>
      <c r="BG21" s="194"/>
      <c r="BH21" s="194"/>
      <c r="BI21" s="194"/>
      <c r="BJ21" s="197"/>
    </row>
    <row r="22" spans="1:62" ht="30" x14ac:dyDescent="0.25">
      <c r="A22" s="44" t="s">
        <v>405</v>
      </c>
      <c r="B22" s="58" t="s">
        <v>236</v>
      </c>
      <c r="C22" s="45">
        <v>4</v>
      </c>
      <c r="D22" s="55" t="s">
        <v>216</v>
      </c>
      <c r="E22" s="45" t="s">
        <v>20</v>
      </c>
      <c r="F22" s="46" t="str">
        <f t="shared" si="12"/>
        <v>DEFINIR CRITÉRIO</v>
      </c>
      <c r="G22" s="47" t="str">
        <f t="shared" si="13"/>
        <v>DEFINIR CRITÉRIO</v>
      </c>
      <c r="H22" s="240" t="s">
        <v>2000</v>
      </c>
      <c r="I22" s="240" t="s">
        <v>2002</v>
      </c>
      <c r="J22" s="242" t="str">
        <f>IFERROR(IF(N22&lt;&gt;"",M22,IF(I22 = PARÂMETROS!$B$5,Q22, IF(I22 = PARÂMETROS!$B$6,R22,IF(I22 = PARÂMETROS!$B$7,S22,IF(I22 = PARÂMETROS!$B$8, T22,"DEFINIR CRITÉRIO"))))),"SEM PREÇO")</f>
        <v>DEFINIR CRITÉRIO</v>
      </c>
      <c r="K22" s="241" t="str">
        <f t="shared" si="0"/>
        <v/>
      </c>
      <c r="L22" s="238" t="str">
        <f t="shared" si="1"/>
        <v/>
      </c>
      <c r="M22" s="51"/>
      <c r="N22" s="52"/>
      <c r="O22" s="53"/>
      <c r="P22" s="235">
        <f t="shared" si="2"/>
        <v>13380.5</v>
      </c>
      <c r="Q22" s="236">
        <f t="shared" si="3"/>
        <v>0</v>
      </c>
      <c r="R22" s="236">
        <f t="shared" si="4"/>
        <v>0</v>
      </c>
      <c r="S22" s="236">
        <f t="shared" si="5"/>
        <v>0</v>
      </c>
      <c r="T22" s="236">
        <f t="shared" si="6"/>
        <v>0</v>
      </c>
      <c r="U22" s="237" t="e">
        <f>IF(AA22 = "", "", IF(OR($H22 = PARÂMETROS!$E$5, $H22 = ""), AA22, IF(OR(AA22 &lt; (1-VLOOKUP($H22,PARÂMETROS!$E:$F,2,FALSE))*$P22, AA22 &gt; (1+VLOOKUP($H22,PARÂMETROS!$E:$F,2,FALSE))*$P22),"",AA22)))</f>
        <v>#N/A</v>
      </c>
      <c r="V22" s="237" t="e">
        <f>IF(AG22 = "", "", IF(OR($H22 = PARÂMETROS!$E$5, $H22 = ""), AG22, IF(OR(AG22 &lt; (1-VLOOKUP($H22,PARÂMETROS!$E:$F,2,FALSE))*$P27, AG22 &gt; (1+VLOOKUP($H22,PARÂMETROS!$E:$F,2,FALSE))*$P22),"",AG22)))</f>
        <v>#N/A</v>
      </c>
      <c r="W22" s="237" t="str">
        <f>IF(AM22 = "", "", IF(OR($H22 = PARÂMETROS!$E$5, $H22 = ""), AM22, IF(OR(AM22 &lt; (1-VLOOKUP($H22,PARÂMETROS!$E:$F,2,FALSE))*$P22, AM22 &gt; (1+VLOOKUP($H22,PARÂMETROS!$E:$F,2,FALSE))*$P22),"",AM22)))</f>
        <v/>
      </c>
      <c r="X22" s="237" t="str">
        <f>IF(AS22 = "", "", IF(OR($H22 = PARÂMETROS!$E$5, $H22 = ""), AS22, IF(OR(AS22 &lt; (1-VLOOKUP($H22,PARÂMETROS!$E:$F,2,FALSE))*$P22, AS22 &gt; (1+VLOOKUP($H22,PARÂMETROS!$E:$F,2,FALSE))*$P22),"",AS22)))</f>
        <v/>
      </c>
      <c r="Y22" s="237" t="str">
        <f>IF(AY22 = "", "", IF(OR($H22 = PARÂMETROS!$E$5, $H22 = ""), AY22, IF(OR(AY22 &lt; (1-VLOOKUP($H22,PARÂMETROS!$E:$F,2,FALSE))*$P22, AY22 &gt; (1+VLOOKUP($H22,PARÂMETROS!$E:$F,2,FALSE))*$P22),"",AY22)))</f>
        <v/>
      </c>
      <c r="Z22" s="237" t="str">
        <f>IF(BE22 = "", "", IF(OR($H22 = PARÂMETROS!$E$5, $H22 = ""), BE22, IF(OR(BE22 &lt; (1-VLOOKUP($H22,PARÂMETROS!$E:$F,2,FALSE))*$P22, BE22 &gt; (1+VLOOKUP($H22,PARÂMETROS!$E:$F,2,FALSE))*$P22),"",BE22)))</f>
        <v/>
      </c>
      <c r="AA22" s="207">
        <v>13995</v>
      </c>
      <c r="AB22" s="205">
        <v>124</v>
      </c>
      <c r="AC22" s="206" t="e">
        <f>IF(AND(OR(AA22="",AA22=0),OR(AA22="",AB22=0)),"",IF(OR(AA22="",AA22=0),"DEFINIR PREÇO",IF(OR(AB22="",AB22=0),"DEFINIR FORNECEDOR",IF(OR(AA22&lt;&gt;"",AA22&lt;&gt;0),VLOOKUP(AB22,#REF!,2,FALSE)))))</f>
        <v>#REF!</v>
      </c>
      <c r="AD22" s="217" t="s">
        <v>1979</v>
      </c>
      <c r="AE22" s="218">
        <v>44945</v>
      </c>
      <c r="AF22" s="220" t="str">
        <f t="shared" ca="1" si="7"/>
        <v>DESATUALIZADA</v>
      </c>
      <c r="AG22" s="230">
        <v>12766</v>
      </c>
      <c r="AH22" s="231">
        <v>692</v>
      </c>
      <c r="AI22" s="206" t="e">
        <f>IF(AND(OR(AG22="",AG22=0),OR(AG22="",AH22=0)),"",IF(OR(AG22="",AG22=0),"DEFINIR PREÇO",IF(OR(AH22="",AH22=0),"DEFINIR FORNECEDOR",IF(OR(AG22&lt;&gt;"",AG22&lt;&gt;0),VLOOKUP(AH22,#REF!,2,FALSE)))))</f>
        <v>#REF!</v>
      </c>
      <c r="AJ22" s="217" t="s">
        <v>2013</v>
      </c>
      <c r="AK22" s="218">
        <v>44952</v>
      </c>
      <c r="AL22" s="220" t="str">
        <f t="shared" ca="1" si="8"/>
        <v>DESATUALIZADA</v>
      </c>
      <c r="AM22" s="230"/>
      <c r="AN22" s="231"/>
      <c r="AO22" s="206" t="str">
        <f>IF(AND(OR(AM22="",AM22=0),OR(AM22="",AN22=0)),"",IF(OR(AM22="",AM22=0),"DEFINIR PREÇO",IF(OR(AN22="",AN22=0),"DEFINIR FORNECEDOR",IF(OR(AM22&lt;&gt;"",AM22&lt;&gt;0),VLOOKUP(AN22,#REF!,2,FALSE)))))</f>
        <v/>
      </c>
      <c r="AP22" s="217"/>
      <c r="AQ22" s="218"/>
      <c r="AR22" s="220" t="str">
        <f t="shared" ca="1" si="9"/>
        <v/>
      </c>
      <c r="AS22" s="229"/>
      <c r="AT22" s="231"/>
      <c r="AU22" s="191" t="str">
        <f>IF(AND(OR(AS22="",AS22=0),OR(AS22="",AT22=0)),"",IF(OR(AS22="",AS22=0),"DEFINIR PREÇO",IF(OR(AT22="",AT22=0),"DEFINIR FORNECEDOR",IF(OR(AS22&lt;&gt;"",AS22&lt;&gt;0),VLOOKUP(AT22,#REF!,2,FALSE)))))</f>
        <v/>
      </c>
      <c r="AV22" s="217"/>
      <c r="AW22" s="218"/>
      <c r="AX22" s="220" t="str">
        <f t="shared" ca="1" si="10"/>
        <v/>
      </c>
      <c r="AY22" s="229"/>
      <c r="AZ22" s="234"/>
      <c r="BA22" s="209" t="str">
        <f>IF(AND(OR(AY22="",AY22=0),OR(AY22="",AZ22=0)),"",IF(OR(AY22="",AY22=0),"DEFINIR PREÇO",IF(OR(AZ22="",AZ22=0),"DEFINIR FORNECEDOR",IF(OR(AY22&lt;&gt;"",AY22&lt;&gt;0),VLOOKUP(AZ22,#REF!,2,FALSE)))))</f>
        <v/>
      </c>
      <c r="BB22" s="217"/>
      <c r="BC22" s="218"/>
      <c r="BD22" s="220" t="str">
        <f t="shared" ca="1" si="11"/>
        <v/>
      </c>
      <c r="BE22" s="195"/>
      <c r="BF22" s="196"/>
      <c r="BG22" s="194"/>
      <c r="BH22" s="194"/>
      <c r="BI22" s="194"/>
      <c r="BJ22" s="197"/>
    </row>
    <row r="23" spans="1:62" ht="30" x14ac:dyDescent="0.25">
      <c r="A23" s="44" t="s">
        <v>405</v>
      </c>
      <c r="B23" s="58" t="s">
        <v>237</v>
      </c>
      <c r="C23" s="45">
        <v>4</v>
      </c>
      <c r="D23" s="55" t="s">
        <v>218</v>
      </c>
      <c r="E23" s="45" t="s">
        <v>20</v>
      </c>
      <c r="F23" s="46" t="str">
        <f t="shared" si="12"/>
        <v>DEFINIR CRITÉRIO</v>
      </c>
      <c r="G23" s="47" t="str">
        <f t="shared" si="13"/>
        <v>DEFINIR CRITÉRIO</v>
      </c>
      <c r="H23" s="240" t="s">
        <v>2000</v>
      </c>
      <c r="I23" s="240" t="s">
        <v>2002</v>
      </c>
      <c r="J23" s="242" t="str">
        <f>IFERROR(IF(N23&lt;&gt;"",M23,IF(I23 = PARÂMETROS!$B$5,Q23, IF(I23 = PARÂMETROS!$B$6,R23,IF(I23 = PARÂMETROS!$B$7,S23,IF(I23 = PARÂMETROS!$B$8, T23,"DEFINIR CRITÉRIO"))))),"SEM PREÇO")</f>
        <v>DEFINIR CRITÉRIO</v>
      </c>
      <c r="K23" s="241" t="str">
        <f t="shared" si="0"/>
        <v/>
      </c>
      <c r="L23" s="238" t="str">
        <f t="shared" si="1"/>
        <v/>
      </c>
      <c r="M23" s="51"/>
      <c r="N23" s="52"/>
      <c r="O23" s="53"/>
      <c r="P23" s="235">
        <f t="shared" si="2"/>
        <v>14222.5</v>
      </c>
      <c r="Q23" s="236">
        <f t="shared" si="3"/>
        <v>0</v>
      </c>
      <c r="R23" s="236">
        <f t="shared" si="4"/>
        <v>0</v>
      </c>
      <c r="S23" s="236">
        <f t="shared" si="5"/>
        <v>0</v>
      </c>
      <c r="T23" s="236">
        <f t="shared" si="6"/>
        <v>0</v>
      </c>
      <c r="U23" s="237" t="e">
        <f>IF(AA23 = "", "", IF(OR($H23 = PARÂMETROS!$E$5, $H23 = ""), AA23, IF(OR(AA23 &lt; (1-VLOOKUP($H23,PARÂMETROS!$E:$F,2,FALSE))*$P23, AA23 &gt; (1+VLOOKUP($H23,PARÂMETROS!$E:$F,2,FALSE))*$P23),"",AA23)))</f>
        <v>#N/A</v>
      </c>
      <c r="V23" s="237" t="e">
        <f>IF(AG23 = "", "", IF(OR($H23 = PARÂMETROS!$E$5, $H23 = ""), AG23, IF(OR(AG23 &lt; (1-VLOOKUP($H23,PARÂMETROS!$E:$F,2,FALSE))*$P28, AG23 &gt; (1+VLOOKUP($H23,PARÂMETROS!$E:$F,2,FALSE))*$P23),"",AG23)))</f>
        <v>#N/A</v>
      </c>
      <c r="W23" s="237" t="str">
        <f>IF(AM23 = "", "", IF(OR($H23 = PARÂMETROS!$E$5, $H23 = ""), AM23, IF(OR(AM23 &lt; (1-VLOOKUP($H23,PARÂMETROS!$E:$F,2,FALSE))*$P23, AM23 &gt; (1+VLOOKUP($H23,PARÂMETROS!$E:$F,2,FALSE))*$P23),"",AM23)))</f>
        <v/>
      </c>
      <c r="X23" s="237" t="str">
        <f>IF(AS23 = "", "", IF(OR($H23 = PARÂMETROS!$E$5, $H23 = ""), AS23, IF(OR(AS23 &lt; (1-VLOOKUP($H23,PARÂMETROS!$E:$F,2,FALSE))*$P23, AS23 &gt; (1+VLOOKUP($H23,PARÂMETROS!$E:$F,2,FALSE))*$P23),"",AS23)))</f>
        <v/>
      </c>
      <c r="Y23" s="237" t="str">
        <f>IF(AY23 = "", "", IF(OR($H23 = PARÂMETROS!$E$5, $H23 = ""), AY23, IF(OR(AY23 &lt; (1-VLOOKUP($H23,PARÂMETROS!$E:$F,2,FALSE))*$P23, AY23 &gt; (1+VLOOKUP($H23,PARÂMETROS!$E:$F,2,FALSE))*$P23),"",AY23)))</f>
        <v/>
      </c>
      <c r="Z23" s="237" t="str">
        <f>IF(BE23 = "", "", IF(OR($H23 = PARÂMETROS!$E$5, $H23 = ""), BE23, IF(OR(BE23 &lt; (1-VLOOKUP($H23,PARÂMETROS!$E:$F,2,FALSE))*$P23, BE23 &gt; (1+VLOOKUP($H23,PARÂMETROS!$E:$F,2,FALSE))*$P23),"",BE23)))</f>
        <v/>
      </c>
      <c r="AA23" s="207">
        <v>14890</v>
      </c>
      <c r="AB23" s="205">
        <v>124</v>
      </c>
      <c r="AC23" s="206" t="e">
        <f>IF(AND(OR(AA23="",AA23=0),OR(AA23="",AB23=0)),"",IF(OR(AA23="",AA23=0),"DEFINIR PREÇO",IF(OR(AB23="",AB23=0),"DEFINIR FORNECEDOR",IF(OR(AA23&lt;&gt;"",AA23&lt;&gt;0),VLOOKUP(AB23,#REF!,2,FALSE)))))</f>
        <v>#REF!</v>
      </c>
      <c r="AD23" s="217" t="s">
        <v>1979</v>
      </c>
      <c r="AE23" s="218">
        <v>44945</v>
      </c>
      <c r="AF23" s="220" t="str">
        <f t="shared" ca="1" si="7"/>
        <v>DESATUALIZADA</v>
      </c>
      <c r="AG23" s="230">
        <v>13555</v>
      </c>
      <c r="AH23" s="231">
        <v>692</v>
      </c>
      <c r="AI23" s="206" t="e">
        <f>IF(AND(OR(AG23="",AG23=0),OR(AG23="",AH23=0)),"",IF(OR(AG23="",AG23=0),"DEFINIR PREÇO",IF(OR(AH23="",AH23=0),"DEFINIR FORNECEDOR",IF(OR(AG23&lt;&gt;"",AG23&lt;&gt;0),VLOOKUP(AH23,#REF!,2,FALSE)))))</f>
        <v>#REF!</v>
      </c>
      <c r="AJ23" s="217" t="s">
        <v>2013</v>
      </c>
      <c r="AK23" s="218">
        <v>44952</v>
      </c>
      <c r="AL23" s="220" t="str">
        <f t="shared" ca="1" si="8"/>
        <v>DESATUALIZADA</v>
      </c>
      <c r="AM23" s="230"/>
      <c r="AN23" s="231"/>
      <c r="AO23" s="206" t="str">
        <f>IF(AND(OR(AM23="",AM23=0),OR(AM23="",AN23=0)),"",IF(OR(AM23="",AM23=0),"DEFINIR PREÇO",IF(OR(AN23="",AN23=0),"DEFINIR FORNECEDOR",IF(OR(AM23&lt;&gt;"",AM23&lt;&gt;0),VLOOKUP(AN23,#REF!,2,FALSE)))))</f>
        <v/>
      </c>
      <c r="AP23" s="217"/>
      <c r="AQ23" s="218"/>
      <c r="AR23" s="220" t="str">
        <f t="shared" ca="1" si="9"/>
        <v/>
      </c>
      <c r="AS23" s="229"/>
      <c r="AT23" s="231"/>
      <c r="AU23" s="191" t="str">
        <f>IF(AND(OR(AS23="",AS23=0),OR(AS23="",AT23=0)),"",IF(OR(AS23="",AS23=0),"DEFINIR PREÇO",IF(OR(AT23="",AT23=0),"DEFINIR FORNECEDOR",IF(OR(AS23&lt;&gt;"",AS23&lt;&gt;0),VLOOKUP(AT23,#REF!,2,FALSE)))))</f>
        <v/>
      </c>
      <c r="AV23" s="217"/>
      <c r="AW23" s="218"/>
      <c r="AX23" s="220" t="str">
        <f t="shared" ca="1" si="10"/>
        <v/>
      </c>
      <c r="AY23" s="229"/>
      <c r="AZ23" s="234"/>
      <c r="BA23" s="209" t="str">
        <f>IF(AND(OR(AY23="",AY23=0),OR(AY23="",AZ23=0)),"",IF(OR(AY23="",AY23=0),"DEFINIR PREÇO",IF(OR(AZ23="",AZ23=0),"DEFINIR FORNECEDOR",IF(OR(AY23&lt;&gt;"",AY23&lt;&gt;0),VLOOKUP(AZ23,#REF!,2,FALSE)))))</f>
        <v/>
      </c>
      <c r="BB23" s="217"/>
      <c r="BC23" s="218"/>
      <c r="BD23" s="220" t="str">
        <f t="shared" ca="1" si="11"/>
        <v/>
      </c>
      <c r="BE23" s="195"/>
      <c r="BF23" s="196"/>
      <c r="BG23" s="194"/>
      <c r="BH23" s="194"/>
      <c r="BI23" s="194"/>
      <c r="BJ23" s="197"/>
    </row>
    <row r="24" spans="1:62" ht="30" x14ac:dyDescent="0.25">
      <c r="A24" s="44" t="s">
        <v>405</v>
      </c>
      <c r="B24" s="58" t="s">
        <v>238</v>
      </c>
      <c r="C24" s="45">
        <v>4</v>
      </c>
      <c r="D24" s="55" t="s">
        <v>220</v>
      </c>
      <c r="E24" s="45" t="s">
        <v>20</v>
      </c>
      <c r="F24" s="46" t="str">
        <f t="shared" si="12"/>
        <v>DEFINIR CRITÉRIO</v>
      </c>
      <c r="G24" s="47" t="str">
        <f t="shared" si="13"/>
        <v>DEFINIR CRITÉRIO</v>
      </c>
      <c r="H24" s="240" t="s">
        <v>2000</v>
      </c>
      <c r="I24" s="240" t="s">
        <v>2002</v>
      </c>
      <c r="J24" s="242" t="str">
        <f>IFERROR(IF(N24&lt;&gt;"",M24,IF(I24 = PARÂMETROS!$B$5,Q24, IF(I24 = PARÂMETROS!$B$6,R24,IF(I24 = PARÂMETROS!$B$7,S24,IF(I24 = PARÂMETROS!$B$8, T24,"DEFINIR CRITÉRIO"))))),"SEM PREÇO")</f>
        <v>DEFINIR CRITÉRIO</v>
      </c>
      <c r="K24" s="241" t="str">
        <f t="shared" si="0"/>
        <v/>
      </c>
      <c r="L24" s="238" t="str">
        <f t="shared" si="1"/>
        <v/>
      </c>
      <c r="M24" s="51"/>
      <c r="N24" s="52"/>
      <c r="O24" s="53"/>
      <c r="P24" s="235">
        <f t="shared" si="2"/>
        <v>15080</v>
      </c>
      <c r="Q24" s="236">
        <f t="shared" si="3"/>
        <v>0</v>
      </c>
      <c r="R24" s="236">
        <f t="shared" si="4"/>
        <v>0</v>
      </c>
      <c r="S24" s="236">
        <f t="shared" si="5"/>
        <v>0</v>
      </c>
      <c r="T24" s="236">
        <f t="shared" si="6"/>
        <v>0</v>
      </c>
      <c r="U24" s="237" t="e">
        <f>IF(AA24 = "", "", IF(OR($H24 = PARÂMETROS!$E$5, $H24 = ""), AA24, IF(OR(AA24 &lt; (1-VLOOKUP($H24,PARÂMETROS!$E:$F,2,FALSE))*$P24, AA24 &gt; (1+VLOOKUP($H24,PARÂMETROS!$E:$F,2,FALSE))*$P24),"",AA24)))</f>
        <v>#N/A</v>
      </c>
      <c r="V24" s="237" t="e">
        <f>IF(AG24 = "", "", IF(OR($H24 = PARÂMETROS!$E$5, $H24 = ""), AG24, IF(OR(AG24 &lt; (1-VLOOKUP($H24,PARÂMETROS!$E:$F,2,FALSE))*$P29, AG24 &gt; (1+VLOOKUP($H24,PARÂMETROS!$E:$F,2,FALSE))*$P24),"",AG24)))</f>
        <v>#N/A</v>
      </c>
      <c r="W24" s="237" t="str">
        <f>IF(AM24 = "", "", IF(OR($H24 = PARÂMETROS!$E$5, $H24 = ""), AM24, IF(OR(AM24 &lt; (1-VLOOKUP($H24,PARÂMETROS!$E:$F,2,FALSE))*$P24, AM24 &gt; (1+VLOOKUP($H24,PARÂMETROS!$E:$F,2,FALSE))*$P24),"",AM24)))</f>
        <v/>
      </c>
      <c r="X24" s="237" t="str">
        <f>IF(AS24 = "", "", IF(OR($H24 = PARÂMETROS!$E$5, $H24 = ""), AS24, IF(OR(AS24 &lt; (1-VLOOKUP($H24,PARÂMETROS!$E:$F,2,FALSE))*$P24, AS24 &gt; (1+VLOOKUP($H24,PARÂMETROS!$E:$F,2,FALSE))*$P24),"",AS24)))</f>
        <v/>
      </c>
      <c r="Y24" s="237" t="str">
        <f>IF(AY24 = "", "", IF(OR($H24 = PARÂMETROS!$E$5, $H24 = ""), AY24, IF(OR(AY24 &lt; (1-VLOOKUP($H24,PARÂMETROS!$E:$F,2,FALSE))*$P24, AY24 &gt; (1+VLOOKUP($H24,PARÂMETROS!$E:$F,2,FALSE))*$P24),"",AY24)))</f>
        <v/>
      </c>
      <c r="Z24" s="237" t="str">
        <f>IF(BE24 = "", "", IF(OR($H24 = PARÂMETROS!$E$5, $H24 = ""), BE24, IF(OR(BE24 &lt; (1-VLOOKUP($H24,PARÂMETROS!$E:$F,2,FALSE))*$P24, BE24 &gt; (1+VLOOKUP($H24,PARÂMETROS!$E:$F,2,FALSE))*$P24),"",BE24)))</f>
        <v/>
      </c>
      <c r="AA24" s="207">
        <v>15800</v>
      </c>
      <c r="AB24" s="205">
        <v>124</v>
      </c>
      <c r="AC24" s="206" t="e">
        <f>IF(AND(OR(AA24="",AA24=0),OR(AA24="",AB24=0)),"",IF(OR(AA24="",AA24=0),"DEFINIR PREÇO",IF(OR(AB24="",AB24=0),"DEFINIR FORNECEDOR",IF(OR(AA24&lt;&gt;"",AA24&lt;&gt;0),VLOOKUP(AB24,#REF!,2,FALSE)))))</f>
        <v>#REF!</v>
      </c>
      <c r="AD24" s="217" t="s">
        <v>1979</v>
      </c>
      <c r="AE24" s="218">
        <v>44945</v>
      </c>
      <c r="AF24" s="220" t="str">
        <f t="shared" ca="1" si="7"/>
        <v>DESATUALIZADA</v>
      </c>
      <c r="AG24" s="230">
        <v>14360</v>
      </c>
      <c r="AH24" s="231">
        <v>692</v>
      </c>
      <c r="AI24" s="206" t="e">
        <f>IF(AND(OR(AG24="",AG24=0),OR(AG24="",AH24=0)),"",IF(OR(AG24="",AG24=0),"DEFINIR PREÇO",IF(OR(AH24="",AH24=0),"DEFINIR FORNECEDOR",IF(OR(AG24&lt;&gt;"",AG24&lt;&gt;0),VLOOKUP(AH24,#REF!,2,FALSE)))))</f>
        <v>#REF!</v>
      </c>
      <c r="AJ24" s="217" t="s">
        <v>2013</v>
      </c>
      <c r="AK24" s="218">
        <v>44952</v>
      </c>
      <c r="AL24" s="220" t="str">
        <f t="shared" ca="1" si="8"/>
        <v>DESATUALIZADA</v>
      </c>
      <c r="AM24" s="230"/>
      <c r="AN24" s="231"/>
      <c r="AO24" s="206" t="str">
        <f>IF(AND(OR(AM24="",AM24=0),OR(AM24="",AN24=0)),"",IF(OR(AM24="",AM24=0),"DEFINIR PREÇO",IF(OR(AN24="",AN24=0),"DEFINIR FORNECEDOR",IF(OR(AM24&lt;&gt;"",AM24&lt;&gt;0),VLOOKUP(AN24,#REF!,2,FALSE)))))</f>
        <v/>
      </c>
      <c r="AP24" s="217"/>
      <c r="AQ24" s="218"/>
      <c r="AR24" s="220" t="str">
        <f t="shared" ca="1" si="9"/>
        <v/>
      </c>
      <c r="AS24" s="229"/>
      <c r="AT24" s="231"/>
      <c r="AU24" s="191" t="str">
        <f>IF(AND(OR(AS24="",AS24=0),OR(AS24="",AT24=0)),"",IF(OR(AS24="",AS24=0),"DEFINIR PREÇO",IF(OR(AT24="",AT24=0),"DEFINIR FORNECEDOR",IF(OR(AS24&lt;&gt;"",AS24&lt;&gt;0),VLOOKUP(AT24,#REF!,2,FALSE)))))</f>
        <v/>
      </c>
      <c r="AV24" s="217"/>
      <c r="AW24" s="218"/>
      <c r="AX24" s="220" t="str">
        <f t="shared" ca="1" si="10"/>
        <v/>
      </c>
      <c r="AY24" s="229"/>
      <c r="AZ24" s="234"/>
      <c r="BA24" s="209" t="str">
        <f>IF(AND(OR(AY24="",AY24=0),OR(AY24="",AZ24=0)),"",IF(OR(AY24="",AY24=0),"DEFINIR PREÇO",IF(OR(AZ24="",AZ24=0),"DEFINIR FORNECEDOR",IF(OR(AY24&lt;&gt;"",AY24&lt;&gt;0),VLOOKUP(AZ24,#REF!,2,FALSE)))))</f>
        <v/>
      </c>
      <c r="BB24" s="217"/>
      <c r="BC24" s="218"/>
      <c r="BD24" s="220" t="str">
        <f t="shared" ca="1" si="11"/>
        <v/>
      </c>
      <c r="BE24" s="195"/>
      <c r="BF24" s="196"/>
      <c r="BG24" s="194"/>
      <c r="BH24" s="194"/>
      <c r="BI24" s="194"/>
      <c r="BJ24" s="197"/>
    </row>
    <row r="25" spans="1:62" ht="30" x14ac:dyDescent="0.25">
      <c r="A25" s="44" t="s">
        <v>405</v>
      </c>
      <c r="B25" s="58" t="s">
        <v>239</v>
      </c>
      <c r="C25" s="45">
        <v>4</v>
      </c>
      <c r="D25" s="55" t="s">
        <v>222</v>
      </c>
      <c r="E25" s="45" t="s">
        <v>20</v>
      </c>
      <c r="F25" s="46" t="str">
        <f t="shared" si="12"/>
        <v>DEFINIR CRITÉRIO</v>
      </c>
      <c r="G25" s="47" t="str">
        <f t="shared" si="13"/>
        <v>DEFINIR CRITÉRIO</v>
      </c>
      <c r="H25" s="240" t="s">
        <v>2000</v>
      </c>
      <c r="I25" s="240" t="s">
        <v>2002</v>
      </c>
      <c r="J25" s="242" t="str">
        <f>IFERROR(IF(N25&lt;&gt;"",M25,IF(I25 = PARÂMETROS!$B$5,Q25, IF(I25 = PARÂMETROS!$B$6,R25,IF(I25 = PARÂMETROS!$B$7,S25,IF(I25 = PARÂMETROS!$B$8, T25,"DEFINIR CRITÉRIO"))))),"SEM PREÇO")</f>
        <v>DEFINIR CRITÉRIO</v>
      </c>
      <c r="K25" s="241" t="str">
        <f t="shared" si="0"/>
        <v/>
      </c>
      <c r="L25" s="238" t="str">
        <f t="shared" si="1"/>
        <v/>
      </c>
      <c r="M25" s="51"/>
      <c r="N25" s="52"/>
      <c r="O25" s="53"/>
      <c r="P25" s="235">
        <f t="shared" si="2"/>
        <v>15901.5</v>
      </c>
      <c r="Q25" s="236">
        <f t="shared" si="3"/>
        <v>0</v>
      </c>
      <c r="R25" s="236">
        <f t="shared" si="4"/>
        <v>0</v>
      </c>
      <c r="S25" s="236">
        <f t="shared" si="5"/>
        <v>0</v>
      </c>
      <c r="T25" s="236">
        <f t="shared" si="6"/>
        <v>0</v>
      </c>
      <c r="U25" s="237" t="e">
        <f>IF(AA25 = "", "", IF(OR($H25 = PARÂMETROS!$E$5, $H25 = ""), AA25, IF(OR(AA25 &lt; (1-VLOOKUP($H25,PARÂMETROS!$E:$F,2,FALSE))*$P25, AA25 &gt; (1+VLOOKUP($H25,PARÂMETROS!$E:$F,2,FALSE))*$P25),"",AA25)))</f>
        <v>#N/A</v>
      </c>
      <c r="V25" s="237" t="e">
        <f>IF(AG25 = "", "", IF(OR($H25 = PARÂMETROS!$E$5, $H25 = ""), AG25, IF(OR(AG25 &lt; (1-VLOOKUP($H25,PARÂMETROS!$E:$F,2,FALSE))*$P30, AG25 &gt; (1+VLOOKUP($H25,PARÂMETROS!$E:$F,2,FALSE))*$P25),"",AG25)))</f>
        <v>#N/A</v>
      </c>
      <c r="W25" s="237" t="str">
        <f>IF(AM25 = "", "", IF(OR($H25 = PARÂMETROS!$E$5, $H25 = ""), AM25, IF(OR(AM25 &lt; (1-VLOOKUP($H25,PARÂMETROS!$E:$F,2,FALSE))*$P25, AM25 &gt; (1+VLOOKUP($H25,PARÂMETROS!$E:$F,2,FALSE))*$P25),"",AM25)))</f>
        <v/>
      </c>
      <c r="X25" s="237" t="str">
        <f>IF(AS25 = "", "", IF(OR($H25 = PARÂMETROS!$E$5, $H25 = ""), AS25, IF(OR(AS25 &lt; (1-VLOOKUP($H25,PARÂMETROS!$E:$F,2,FALSE))*$P25, AS25 &gt; (1+VLOOKUP($H25,PARÂMETROS!$E:$F,2,FALSE))*$P25),"",AS25)))</f>
        <v/>
      </c>
      <c r="Y25" s="237" t="str">
        <f>IF(AY25 = "", "", IF(OR($H25 = PARÂMETROS!$E$5, $H25 = ""), AY25, IF(OR(AY25 &lt; (1-VLOOKUP($H25,PARÂMETROS!$E:$F,2,FALSE))*$P25, AY25 &gt; (1+VLOOKUP($H25,PARÂMETROS!$E:$F,2,FALSE))*$P25),"",AY25)))</f>
        <v/>
      </c>
      <c r="Z25" s="237" t="str">
        <f>IF(BE25 = "", "", IF(OR($H25 = PARÂMETROS!$E$5, $H25 = ""), BE25, IF(OR(BE25 &lt; (1-VLOOKUP($H25,PARÂMETROS!$E:$F,2,FALSE))*$P25, BE25 &gt; (1+VLOOKUP($H25,PARÂMETROS!$E:$F,2,FALSE))*$P25),"",BE25)))</f>
        <v/>
      </c>
      <c r="AA25" s="207">
        <v>16650</v>
      </c>
      <c r="AB25" s="205">
        <v>124</v>
      </c>
      <c r="AC25" s="206" t="e">
        <f>IF(AND(OR(AA25="",AA25=0),OR(AA25="",AB25=0)),"",IF(OR(AA25="",AA25=0),"DEFINIR PREÇO",IF(OR(AB25="",AB25=0),"DEFINIR FORNECEDOR",IF(OR(AA25&lt;&gt;"",AA25&lt;&gt;0),VLOOKUP(AB25,#REF!,2,FALSE)))))</f>
        <v>#REF!</v>
      </c>
      <c r="AD25" s="217" t="s">
        <v>1979</v>
      </c>
      <c r="AE25" s="218">
        <v>44945</v>
      </c>
      <c r="AF25" s="220" t="str">
        <f t="shared" ca="1" si="7"/>
        <v>DESATUALIZADA</v>
      </c>
      <c r="AG25" s="230">
        <v>15153</v>
      </c>
      <c r="AH25" s="231">
        <v>692</v>
      </c>
      <c r="AI25" s="206" t="e">
        <f>IF(AND(OR(AG25="",AG25=0),OR(AG25="",AH25=0)),"",IF(OR(AG25="",AG25=0),"DEFINIR PREÇO",IF(OR(AH25="",AH25=0),"DEFINIR FORNECEDOR",IF(OR(AG25&lt;&gt;"",AG25&lt;&gt;0),VLOOKUP(AH25,#REF!,2,FALSE)))))</f>
        <v>#REF!</v>
      </c>
      <c r="AJ25" s="217" t="s">
        <v>2013</v>
      </c>
      <c r="AK25" s="218">
        <v>44952</v>
      </c>
      <c r="AL25" s="220" t="str">
        <f t="shared" ca="1" si="8"/>
        <v>DESATUALIZADA</v>
      </c>
      <c r="AM25" s="230"/>
      <c r="AN25" s="231"/>
      <c r="AO25" s="206" t="str">
        <f>IF(AND(OR(AM25="",AM25=0),OR(AM25="",AN25=0)),"",IF(OR(AM25="",AM25=0),"DEFINIR PREÇO",IF(OR(AN25="",AN25=0),"DEFINIR FORNECEDOR",IF(OR(AM25&lt;&gt;"",AM25&lt;&gt;0),VLOOKUP(AN25,#REF!,2,FALSE)))))</f>
        <v/>
      </c>
      <c r="AP25" s="217"/>
      <c r="AQ25" s="218"/>
      <c r="AR25" s="220" t="str">
        <f t="shared" ca="1" si="9"/>
        <v/>
      </c>
      <c r="AS25" s="229"/>
      <c r="AT25" s="231"/>
      <c r="AU25" s="191" t="str">
        <f>IF(AND(OR(AS25="",AS25=0),OR(AS25="",AT25=0)),"",IF(OR(AS25="",AS25=0),"DEFINIR PREÇO",IF(OR(AT25="",AT25=0),"DEFINIR FORNECEDOR",IF(OR(AS25&lt;&gt;"",AS25&lt;&gt;0),VLOOKUP(AT25,#REF!,2,FALSE)))))</f>
        <v/>
      </c>
      <c r="AV25" s="217"/>
      <c r="AW25" s="218"/>
      <c r="AX25" s="220" t="str">
        <f t="shared" ca="1" si="10"/>
        <v/>
      </c>
      <c r="AY25" s="229"/>
      <c r="AZ25" s="234"/>
      <c r="BA25" s="209" t="str">
        <f>IF(AND(OR(AY25="",AY25=0),OR(AY25="",AZ25=0)),"",IF(OR(AY25="",AY25=0),"DEFINIR PREÇO",IF(OR(AZ25="",AZ25=0),"DEFINIR FORNECEDOR",IF(OR(AY25&lt;&gt;"",AY25&lt;&gt;0),VLOOKUP(AZ25,#REF!,2,FALSE)))))</f>
        <v/>
      </c>
      <c r="BB25" s="217"/>
      <c r="BC25" s="218"/>
      <c r="BD25" s="220" t="str">
        <f t="shared" ca="1" si="11"/>
        <v/>
      </c>
      <c r="BE25" s="195"/>
      <c r="BF25" s="196"/>
      <c r="BG25" s="194"/>
      <c r="BH25" s="194"/>
      <c r="BI25" s="194"/>
      <c r="BJ25" s="197"/>
    </row>
    <row r="26" spans="1:62" ht="30" x14ac:dyDescent="0.25">
      <c r="A26" s="44" t="s">
        <v>405</v>
      </c>
      <c r="B26" s="58" t="s">
        <v>240</v>
      </c>
      <c r="C26" s="45">
        <v>4</v>
      </c>
      <c r="D26" s="55" t="s">
        <v>224</v>
      </c>
      <c r="E26" s="45" t="s">
        <v>20</v>
      </c>
      <c r="F26" s="46" t="str">
        <f t="shared" si="12"/>
        <v>DEFINIR CRITÉRIO</v>
      </c>
      <c r="G26" s="47" t="str">
        <f t="shared" si="13"/>
        <v>DEFINIR CRITÉRIO</v>
      </c>
      <c r="H26" s="240" t="s">
        <v>2000</v>
      </c>
      <c r="I26" s="240" t="s">
        <v>2002</v>
      </c>
      <c r="J26" s="242" t="str">
        <f>IFERROR(IF(N26&lt;&gt;"",M26,IF(I26 = PARÂMETROS!$B$5,Q26, IF(I26 = PARÂMETROS!$B$6,R26,IF(I26 = PARÂMETROS!$B$7,S26,IF(I26 = PARÂMETROS!$B$8, T26,"DEFINIR CRITÉRIO"))))),"SEM PREÇO")</f>
        <v>DEFINIR CRITÉRIO</v>
      </c>
      <c r="K26" s="241" t="str">
        <f t="shared" si="0"/>
        <v/>
      </c>
      <c r="L26" s="238" t="str">
        <f t="shared" si="1"/>
        <v/>
      </c>
      <c r="M26" s="51"/>
      <c r="N26" s="52"/>
      <c r="O26" s="53"/>
      <c r="P26" s="235">
        <f t="shared" si="2"/>
        <v>16879</v>
      </c>
      <c r="Q26" s="236">
        <f t="shared" si="3"/>
        <v>0</v>
      </c>
      <c r="R26" s="236">
        <f t="shared" si="4"/>
        <v>0</v>
      </c>
      <c r="S26" s="236">
        <f t="shared" si="5"/>
        <v>0</v>
      </c>
      <c r="T26" s="236">
        <f t="shared" si="6"/>
        <v>0</v>
      </c>
      <c r="U26" s="237" t="e">
        <f>IF(AA26 = "", "", IF(OR($H26 = PARÂMETROS!$E$5, $H26 = ""), AA26, IF(OR(AA26 &lt; (1-VLOOKUP($H26,PARÂMETROS!$E:$F,2,FALSE))*$P26, AA26 &gt; (1+VLOOKUP($H26,PARÂMETROS!$E:$F,2,FALSE))*$P26),"",AA26)))</f>
        <v>#N/A</v>
      </c>
      <c r="V26" s="237" t="e">
        <f>IF(AG26 = "", "", IF(OR($H26 = PARÂMETROS!$E$5, $H26 = ""), AG26, IF(OR(AG26 &lt; (1-VLOOKUP($H26,PARÂMETROS!$E:$F,2,FALSE))*$P31, AG26 &gt; (1+VLOOKUP($H26,PARÂMETROS!$E:$F,2,FALSE))*$P26),"",AG26)))</f>
        <v>#N/A</v>
      </c>
      <c r="W26" s="237" t="str">
        <f>IF(AM26 = "", "", IF(OR($H26 = PARÂMETROS!$E$5, $H26 = ""), AM26, IF(OR(AM26 &lt; (1-VLOOKUP($H26,PARÂMETROS!$E:$F,2,FALSE))*$P26, AM26 &gt; (1+VLOOKUP($H26,PARÂMETROS!$E:$F,2,FALSE))*$P26),"",AM26)))</f>
        <v/>
      </c>
      <c r="X26" s="237" t="str">
        <f>IF(AS26 = "", "", IF(OR($H26 = PARÂMETROS!$E$5, $H26 = ""), AS26, IF(OR(AS26 &lt; (1-VLOOKUP($H26,PARÂMETROS!$E:$F,2,FALSE))*$P26, AS26 &gt; (1+VLOOKUP($H26,PARÂMETROS!$E:$F,2,FALSE))*$P26),"",AS26)))</f>
        <v/>
      </c>
      <c r="Y26" s="237" t="str">
        <f>IF(AY26 = "", "", IF(OR($H26 = PARÂMETROS!$E$5, $H26 = ""), AY26, IF(OR(AY26 &lt; (1-VLOOKUP($H26,PARÂMETROS!$E:$F,2,FALSE))*$P26, AY26 &gt; (1+VLOOKUP($H26,PARÂMETROS!$E:$F,2,FALSE))*$P26),"",AY26)))</f>
        <v/>
      </c>
      <c r="Z26" s="237" t="str">
        <f>IF(BE26 = "", "", IF(OR($H26 = PARÂMETROS!$E$5, $H26 = ""), BE26, IF(OR(BE26 &lt; (1-VLOOKUP($H26,PARÂMETROS!$E:$F,2,FALSE))*$P26, BE26 &gt; (1+VLOOKUP($H26,PARÂMETROS!$E:$F,2,FALSE))*$P26),"",BE26)))</f>
        <v/>
      </c>
      <c r="AA26" s="207">
        <v>17658</v>
      </c>
      <c r="AB26" s="205">
        <v>124</v>
      </c>
      <c r="AC26" s="206" t="e">
        <f>IF(AND(OR(AA26="",AA26=0),OR(AA26="",AB26=0)),"",IF(OR(AA26="",AA26=0),"DEFINIR PREÇO",IF(OR(AB26="",AB26=0),"DEFINIR FORNECEDOR",IF(OR(AA26&lt;&gt;"",AA26&lt;&gt;0),VLOOKUP(AB26,#REF!,2,FALSE)))))</f>
        <v>#REF!</v>
      </c>
      <c r="AD26" s="217" t="s">
        <v>1979</v>
      </c>
      <c r="AE26" s="218">
        <v>44945</v>
      </c>
      <c r="AF26" s="220" t="str">
        <f t="shared" ca="1" si="7"/>
        <v>DESATUALIZADA</v>
      </c>
      <c r="AG26" s="230">
        <v>16100</v>
      </c>
      <c r="AH26" s="231">
        <v>692</v>
      </c>
      <c r="AI26" s="206" t="e">
        <f>IF(AND(OR(AG26="",AG26=0),OR(AG26="",AH26=0)),"",IF(OR(AG26="",AG26=0),"DEFINIR PREÇO",IF(OR(AH26="",AH26=0),"DEFINIR FORNECEDOR",IF(OR(AG26&lt;&gt;"",AG26&lt;&gt;0),VLOOKUP(AH26,#REF!,2,FALSE)))))</f>
        <v>#REF!</v>
      </c>
      <c r="AJ26" s="217" t="s">
        <v>2013</v>
      </c>
      <c r="AK26" s="218">
        <v>44952</v>
      </c>
      <c r="AL26" s="220" t="str">
        <f t="shared" ca="1" si="8"/>
        <v>DESATUALIZADA</v>
      </c>
      <c r="AM26" s="230"/>
      <c r="AN26" s="231"/>
      <c r="AO26" s="206" t="str">
        <f>IF(AND(OR(AM26="",AM26=0),OR(AM26="",AN26=0)),"",IF(OR(AM26="",AM26=0),"DEFINIR PREÇO",IF(OR(AN26="",AN26=0),"DEFINIR FORNECEDOR",IF(OR(AM26&lt;&gt;"",AM26&lt;&gt;0),VLOOKUP(AN26,#REF!,2,FALSE)))))</f>
        <v/>
      </c>
      <c r="AP26" s="217"/>
      <c r="AQ26" s="218"/>
      <c r="AR26" s="220" t="str">
        <f t="shared" ca="1" si="9"/>
        <v/>
      </c>
      <c r="AS26" s="229"/>
      <c r="AT26" s="231"/>
      <c r="AU26" s="191" t="str">
        <f>IF(AND(OR(AS26="",AS26=0),OR(AS26="",AT26=0)),"",IF(OR(AS26="",AS26=0),"DEFINIR PREÇO",IF(OR(AT26="",AT26=0),"DEFINIR FORNECEDOR",IF(OR(AS26&lt;&gt;"",AS26&lt;&gt;0),VLOOKUP(AT26,#REF!,2,FALSE)))))</f>
        <v/>
      </c>
      <c r="AV26" s="217"/>
      <c r="AW26" s="218"/>
      <c r="AX26" s="220" t="str">
        <f t="shared" ca="1" si="10"/>
        <v/>
      </c>
      <c r="AY26" s="229"/>
      <c r="AZ26" s="234"/>
      <c r="BA26" s="209" t="str">
        <f>IF(AND(OR(AY26="",AY26=0),OR(AY26="",AZ26=0)),"",IF(OR(AY26="",AY26=0),"DEFINIR PREÇO",IF(OR(AZ26="",AZ26=0),"DEFINIR FORNECEDOR",IF(OR(AY26&lt;&gt;"",AY26&lt;&gt;0),VLOOKUP(AZ26,#REF!,2,FALSE)))))</f>
        <v/>
      </c>
      <c r="BB26" s="217"/>
      <c r="BC26" s="218"/>
      <c r="BD26" s="220" t="str">
        <f t="shared" ca="1" si="11"/>
        <v/>
      </c>
      <c r="BE26" s="195"/>
      <c r="BF26" s="196"/>
      <c r="BG26" s="194"/>
      <c r="BH26" s="194"/>
      <c r="BI26" s="194"/>
      <c r="BJ26" s="197"/>
    </row>
    <row r="27" spans="1:62" ht="30" x14ac:dyDescent="0.25">
      <c r="A27" s="44" t="s">
        <v>405</v>
      </c>
      <c r="B27" s="58" t="s">
        <v>1141</v>
      </c>
      <c r="C27" s="45">
        <v>4</v>
      </c>
      <c r="D27" s="55" t="s">
        <v>1142</v>
      </c>
      <c r="E27" s="45" t="s">
        <v>29</v>
      </c>
      <c r="F27" s="46" t="str">
        <f>J27</f>
        <v>DEFINIR CRITÉRIO</v>
      </c>
      <c r="G27" s="47" t="str">
        <f t="shared" si="13"/>
        <v>DEFINIR CRITÉRIO</v>
      </c>
      <c r="H27" s="240" t="s">
        <v>2000</v>
      </c>
      <c r="I27" s="240" t="s">
        <v>2001</v>
      </c>
      <c r="J27" s="242" t="str">
        <f>IFERROR(IF(N27&lt;&gt;"",M27,IF(I27 = PARÂMETROS!$B$5,Q27, IF(I27 = PARÂMETROS!$B$6,R27,IF(I27 = PARÂMETROS!$B$7,S27,IF(I27 = PARÂMETROS!$B$8, T27,"DEFINIR CRITÉRIO"))))),"SEM PREÇO")</f>
        <v>DEFINIR CRITÉRIO</v>
      </c>
      <c r="K27" s="241" t="str">
        <f t="shared" si="0"/>
        <v/>
      </c>
      <c r="L27" s="238" t="str">
        <f t="shared" si="1"/>
        <v/>
      </c>
      <c r="M27" s="51"/>
      <c r="N27" s="52"/>
      <c r="O27" s="53"/>
      <c r="P27" s="235">
        <f t="shared" si="2"/>
        <v>52.307709750566893</v>
      </c>
      <c r="Q27" s="236">
        <f t="shared" si="3"/>
        <v>0</v>
      </c>
      <c r="R27" s="236">
        <f t="shared" si="4"/>
        <v>0</v>
      </c>
      <c r="S27" s="236">
        <f t="shared" si="5"/>
        <v>0</v>
      </c>
      <c r="T27" s="236">
        <f t="shared" si="6"/>
        <v>0</v>
      </c>
      <c r="U27" s="237" t="e">
        <f>IF(AA27 = "", "", IF(OR($H27 = PARÂMETROS!$E$5, $H27 = ""), AA27, IF(OR(AA27 &lt; (1-VLOOKUP($H27,PARÂMETROS!$E:$F,2,FALSE))*$P27, AA27 &gt; (1+VLOOKUP($H27,PARÂMETROS!$E:$F,2,FALSE))*$P27),"",AA27)))</f>
        <v>#N/A</v>
      </c>
      <c r="V27" s="237" t="e">
        <f>IF(AG27 = "", "", IF(OR($H27 = PARÂMETROS!$E$5, $H27 = ""), AG27, IF(OR(AG27 &lt; (1-VLOOKUP($H27,PARÂMETROS!$E:$F,2,FALSE))*$P32, AG27 &gt; (1+VLOOKUP($H27,PARÂMETROS!$E:$F,2,FALSE))*$P27),"",AG27)))</f>
        <v>#N/A</v>
      </c>
      <c r="W27" s="237" t="e">
        <f>IF(AM27 = "", "", IF(OR($H27 = PARÂMETROS!$E$5, $H27 = ""), AM27, IF(OR(AM27 &lt; (1-VLOOKUP($H27,PARÂMETROS!$E:$F,2,FALSE))*$P27, AM27 &gt; (1+VLOOKUP($H27,PARÂMETROS!$E:$F,2,FALSE))*$P27),"",AM27)))</f>
        <v>#N/A</v>
      </c>
      <c r="X27" s="237" t="str">
        <f>IF(AS27 = "", "", IF(OR($H27 = PARÂMETROS!$E$5, $H27 = ""), AS27, IF(OR(AS27 &lt; (1-VLOOKUP($H27,PARÂMETROS!$E:$F,2,FALSE))*$P27, AS27 &gt; (1+VLOOKUP($H27,PARÂMETROS!$E:$F,2,FALSE))*$P27),"",AS27)))</f>
        <v/>
      </c>
      <c r="Y27" s="237" t="str">
        <f>IF(AY27 = "", "", IF(OR($H27 = PARÂMETROS!$E$5, $H27 = ""), AY27, IF(OR(AY27 &lt; (1-VLOOKUP($H27,PARÂMETROS!$E:$F,2,FALSE))*$P27, AY27 &gt; (1+VLOOKUP($H27,PARÂMETROS!$E:$F,2,FALSE))*$P27),"",AY27)))</f>
        <v/>
      </c>
      <c r="Z27" s="237" t="str">
        <f>IF(BE27 = "", "", IF(OR($H27 = PARÂMETROS!$E$5, $H27 = ""), BE27, IF(OR(BE27 &lt; (1-VLOOKUP($H27,PARÂMETROS!$E:$F,2,FALSE))*$P27, BE27 &gt; (1+VLOOKUP($H27,PARÂMETROS!$E:$F,2,FALSE))*$P27),"",BE27)))</f>
        <v/>
      </c>
      <c r="AA27" s="207">
        <v>39.472108843537413</v>
      </c>
      <c r="AB27" s="208">
        <v>657</v>
      </c>
      <c r="AC27" s="206" t="e">
        <f>IF(AND(OR(AA27="",AA27=0),OR(AA27="",AB27=0)),"",IF(OR(AA27="",AA27=0),"DEFINIR PREÇO",IF(OR(AB27="",AB27=0),"DEFINIR FORNECEDOR",IF(OR(AA27&lt;&gt;"",AA27&lt;&gt;0),VLOOKUP(AB27,#REF!,2,FALSE)))))</f>
        <v>#REF!</v>
      </c>
      <c r="AD27" s="217" t="s">
        <v>1977</v>
      </c>
      <c r="AE27" s="218">
        <v>44939</v>
      </c>
      <c r="AF27" s="220" t="str">
        <f t="shared" ca="1" si="7"/>
        <v>DESATUALIZADA</v>
      </c>
      <c r="AG27" s="229">
        <f>862.2/(2.45*6)</f>
        <v>58.653061224489797</v>
      </c>
      <c r="AH27" s="231">
        <v>1434</v>
      </c>
      <c r="AI27" s="206" t="e">
        <f>IF(AND(OR(AG27="",AG27=0),OR(AG27="",AH27=0)),"",IF(OR(AG27="",AG27=0),"DEFINIR PREÇO",IF(OR(AH27="",AH27=0),"DEFINIR FORNECEDOR",IF(OR(AG27&lt;&gt;"",AG27&lt;&gt;0),VLOOKUP(AH27,#REF!,2,FALSE)))))</f>
        <v>#REF!</v>
      </c>
      <c r="AJ27" s="217" t="s">
        <v>1977</v>
      </c>
      <c r="AK27" s="218">
        <v>44939</v>
      </c>
      <c r="AL27" s="220" t="str">
        <f t="shared" ca="1" si="8"/>
        <v>DESATUALIZADA</v>
      </c>
      <c r="AM27" s="229">
        <f>864.33/(2.45*6)</f>
        <v>58.79795918367347</v>
      </c>
      <c r="AN27" s="231">
        <v>2205</v>
      </c>
      <c r="AO27" s="206"/>
      <c r="AP27" s="217" t="s">
        <v>1977</v>
      </c>
      <c r="AQ27" s="218">
        <v>44939</v>
      </c>
      <c r="AR27" s="220" t="str">
        <f t="shared" ca="1" si="9"/>
        <v>DESATUALIZADA</v>
      </c>
      <c r="AS27" s="229"/>
      <c r="AT27" s="231"/>
      <c r="AU27" s="191" t="str">
        <f>IF(AND(OR(AS27="",AS27=0),OR(AS27="",AT27=0)),"",IF(OR(AS27="",AS27=0),"DEFINIR PREÇO",IF(OR(AT27="",AT27=0),"DEFINIR FORNECEDOR",IF(OR(AS27&lt;&gt;"",AS27&lt;&gt;0),VLOOKUP(AT27,#REF!,2,FALSE)))))</f>
        <v/>
      </c>
      <c r="AV27" s="217"/>
      <c r="AW27" s="218"/>
      <c r="AX27" s="220" t="str">
        <f t="shared" ca="1" si="10"/>
        <v/>
      </c>
      <c r="AY27" s="229"/>
      <c r="AZ27" s="234"/>
      <c r="BA27" s="209" t="str">
        <f>IF(AND(OR(AY27="",AY27=0),OR(AY27="",AZ27=0)),"",IF(OR(AY27="",AY27=0),"DEFINIR PREÇO",IF(OR(AZ27="",AZ27=0),"DEFINIR FORNECEDOR",IF(OR(AY27&lt;&gt;"",AY27&lt;&gt;0),VLOOKUP(AZ27,#REF!,2,FALSE)))))</f>
        <v/>
      </c>
      <c r="BB27" s="217"/>
      <c r="BC27" s="218"/>
      <c r="BD27" s="220" t="str">
        <f t="shared" ca="1" si="11"/>
        <v/>
      </c>
      <c r="BE27" s="195"/>
      <c r="BF27" s="196"/>
      <c r="BG27" s="194"/>
      <c r="BH27" s="194"/>
      <c r="BI27" s="194"/>
      <c r="BJ27" s="197"/>
    </row>
    <row r="28" spans="1:62" ht="30" x14ac:dyDescent="0.25">
      <c r="A28" s="44" t="s">
        <v>405</v>
      </c>
      <c r="B28" s="58" t="s">
        <v>1146</v>
      </c>
      <c r="C28" s="45">
        <v>4</v>
      </c>
      <c r="D28" s="55" t="s">
        <v>1143</v>
      </c>
      <c r="E28" s="45" t="s">
        <v>29</v>
      </c>
      <c r="F28" s="46" t="str">
        <f t="shared" ref="F28:F30" si="14">J28</f>
        <v>DEFINIR CRITÉRIO</v>
      </c>
      <c r="G28" s="47" t="str">
        <f t="shared" si="13"/>
        <v>DEFINIR CRITÉRIO</v>
      </c>
      <c r="H28" s="240" t="s">
        <v>2000</v>
      </c>
      <c r="I28" s="240" t="s">
        <v>2001</v>
      </c>
      <c r="J28" s="242" t="str">
        <f>IFERROR(IF(N28&lt;&gt;"",M28,IF(I28 = PARÂMETROS!$B$5,Q28, IF(I28 = PARÂMETROS!$B$6,R28,IF(I28 = PARÂMETROS!$B$7,S28,IF(I28 = PARÂMETROS!$B$8, T28,"DEFINIR CRITÉRIO"))))),"SEM PREÇO")</f>
        <v>DEFINIR CRITÉRIO</v>
      </c>
      <c r="K28" s="241" t="str">
        <f t="shared" si="0"/>
        <v/>
      </c>
      <c r="L28" s="238" t="str">
        <f t="shared" si="1"/>
        <v/>
      </c>
      <c r="M28" s="51"/>
      <c r="N28" s="52"/>
      <c r="O28" s="53"/>
      <c r="P28" s="235">
        <f t="shared" si="2"/>
        <v>91.148979591836721</v>
      </c>
      <c r="Q28" s="236">
        <f t="shared" si="3"/>
        <v>0</v>
      </c>
      <c r="R28" s="236">
        <f t="shared" si="4"/>
        <v>0</v>
      </c>
      <c r="S28" s="236">
        <f t="shared" si="5"/>
        <v>0</v>
      </c>
      <c r="T28" s="236">
        <f t="shared" si="6"/>
        <v>0</v>
      </c>
      <c r="U28" s="237" t="e">
        <f>IF(AA28 = "", "", IF(OR($H28 = PARÂMETROS!$E$5, $H28 = ""), AA28, IF(OR(AA28 &lt; (1-VLOOKUP($H28,PARÂMETROS!$E:$F,2,FALSE))*$P28, AA28 &gt; (1+VLOOKUP($H28,PARÂMETROS!$E:$F,2,FALSE))*$P28),"",AA28)))</f>
        <v>#N/A</v>
      </c>
      <c r="V28" s="237" t="e">
        <f>IF(AG28 = "", "", IF(OR($H28 = PARÂMETROS!$E$5, $H28 = ""), AG28, IF(OR(AG28 &lt; (1-VLOOKUP($H28,PARÂMETROS!$E:$F,2,FALSE))*$P33, AG28 &gt; (1+VLOOKUP($H28,PARÂMETROS!$E:$F,2,FALSE))*$P28),"",AG28)))</f>
        <v>#N/A</v>
      </c>
      <c r="W28" s="237" t="e">
        <f>IF(AM28 = "", "", IF(OR($H28 = PARÂMETROS!$E$5, $H28 = ""), AM28, IF(OR(AM28 &lt; (1-VLOOKUP($H28,PARÂMETROS!$E:$F,2,FALSE))*$P28, AM28 &gt; (1+VLOOKUP($H28,PARÂMETROS!$E:$F,2,FALSE))*$P28),"",AM28)))</f>
        <v>#N/A</v>
      </c>
      <c r="X28" s="237" t="str">
        <f>IF(AS28 = "", "", IF(OR($H28 = PARÂMETROS!$E$5, $H28 = ""), AS28, IF(OR(AS28 &lt; (1-VLOOKUP($H28,PARÂMETROS!$E:$F,2,FALSE))*$P28, AS28 &gt; (1+VLOOKUP($H28,PARÂMETROS!$E:$F,2,FALSE))*$P28),"",AS28)))</f>
        <v/>
      </c>
      <c r="Y28" s="237" t="str">
        <f>IF(AY28 = "", "", IF(OR($H28 = PARÂMETROS!$E$5, $H28 = ""), AY28, IF(OR(AY28 &lt; (1-VLOOKUP($H28,PARÂMETROS!$E:$F,2,FALSE))*$P28, AY28 &gt; (1+VLOOKUP($H28,PARÂMETROS!$E:$F,2,FALSE))*$P28),"",AY28)))</f>
        <v/>
      </c>
      <c r="Z28" s="237" t="str">
        <f>IF(BE28 = "", "", IF(OR($H28 = PARÂMETROS!$E$5, $H28 = ""), BE28, IF(OR(BE28 &lt; (1-VLOOKUP($H28,PARÂMETROS!$E:$F,2,FALSE))*$P28, BE28 &gt; (1+VLOOKUP($H28,PARÂMETROS!$E:$F,2,FALSE))*$P28),"",BE28)))</f>
        <v/>
      </c>
      <c r="AA28" s="207">
        <v>82.082312925170058</v>
      </c>
      <c r="AB28" s="208">
        <v>657</v>
      </c>
      <c r="AC28" s="206" t="e">
        <f>IF(AND(OR(AA28="",AA28=0),OR(AA28="",AB28=0)),"",IF(OR(AA28="",AA28=0),"DEFINIR PREÇO",IF(OR(AB28="",AB28=0),"DEFINIR FORNECEDOR",IF(OR(AA28&lt;&gt;"",AA28&lt;&gt;0),VLOOKUP(AB28,#REF!,2,FALSE)))))</f>
        <v>#REF!</v>
      </c>
      <c r="AD28" s="217" t="s">
        <v>1977</v>
      </c>
      <c r="AE28" s="218">
        <v>44939</v>
      </c>
      <c r="AF28" s="220" t="str">
        <f t="shared" ca="1" si="7"/>
        <v>DESATUALIZADA</v>
      </c>
      <c r="AG28" s="229">
        <f>1792.3/(2.45*6)</f>
        <v>121.9251700680272</v>
      </c>
      <c r="AH28" s="231">
        <v>1434</v>
      </c>
      <c r="AI28" s="206" t="e">
        <f>IF(AND(OR(AG28="",AG28=0),OR(AG28="",AH28=0)),"",IF(OR(AG28="",AG28=0),"DEFINIR PREÇO",IF(OR(AH28="",AH28=0),"DEFINIR FORNECEDOR",IF(OR(AG28&lt;&gt;"",AG28&lt;&gt;0),VLOOKUP(AH28,#REF!,2,FALSE)))))</f>
        <v>#REF!</v>
      </c>
      <c r="AJ28" s="217" t="s">
        <v>1977</v>
      </c>
      <c r="AK28" s="218">
        <v>44939</v>
      </c>
      <c r="AL28" s="220" t="str">
        <f t="shared" ca="1" si="8"/>
        <v>DESATUALIZADA</v>
      </c>
      <c r="AM28" s="229">
        <f>1020.76/(2.45*6)</f>
        <v>69.439455782312919</v>
      </c>
      <c r="AN28" s="231">
        <v>10</v>
      </c>
      <c r="AO28" s="206"/>
      <c r="AP28" s="217" t="s">
        <v>1980</v>
      </c>
      <c r="AQ28" s="218">
        <v>44953</v>
      </c>
      <c r="AR28" s="220" t="str">
        <f t="shared" ca="1" si="9"/>
        <v>DESATUALIZADA</v>
      </c>
      <c r="AS28" s="229"/>
      <c r="AT28" s="231"/>
      <c r="AU28" s="191" t="str">
        <f>IF(AND(OR(AS28="",AS28=0),OR(AS28="",AT28=0)),"",IF(OR(AS28="",AS28=0),"DEFINIR PREÇO",IF(OR(AT28="",AT28=0),"DEFINIR FORNECEDOR",IF(OR(AS28&lt;&gt;"",AS28&lt;&gt;0),VLOOKUP(AT28,#REF!,2,FALSE)))))</f>
        <v/>
      </c>
      <c r="AV28" s="217"/>
      <c r="AW28" s="218"/>
      <c r="AX28" s="220" t="str">
        <f t="shared" ca="1" si="10"/>
        <v/>
      </c>
      <c r="AY28" s="229"/>
      <c r="AZ28" s="234"/>
      <c r="BA28" s="209" t="str">
        <f>IF(AND(OR(AY28="",AY28=0),OR(AY28="",AZ28=0)),"",IF(OR(AY28="",AY28=0),"DEFINIR PREÇO",IF(OR(AZ28="",AZ28=0),"DEFINIR FORNECEDOR",IF(OR(AY28&lt;&gt;"",AY28&lt;&gt;0),VLOOKUP(AZ28,#REF!,2,FALSE)))))</f>
        <v/>
      </c>
      <c r="BB28" s="217"/>
      <c r="BC28" s="218"/>
      <c r="BD28" s="220" t="str">
        <f t="shared" ca="1" si="11"/>
        <v/>
      </c>
      <c r="BE28" s="195"/>
      <c r="BF28" s="196"/>
      <c r="BG28" s="194"/>
      <c r="BH28" s="194"/>
      <c r="BI28" s="194"/>
      <c r="BJ28" s="197"/>
    </row>
    <row r="29" spans="1:62" ht="30" x14ac:dyDescent="0.25">
      <c r="A29" s="44" t="s">
        <v>405</v>
      </c>
      <c r="B29" s="58" t="s">
        <v>1147</v>
      </c>
      <c r="C29" s="45">
        <v>4</v>
      </c>
      <c r="D29" s="55" t="s">
        <v>1144</v>
      </c>
      <c r="E29" s="45" t="s">
        <v>29</v>
      </c>
      <c r="F29" s="46" t="str">
        <f t="shared" si="14"/>
        <v>DEFINIR CRITÉRIO</v>
      </c>
      <c r="G29" s="47" t="str">
        <f t="shared" si="13"/>
        <v>DEFINIR CRITÉRIO</v>
      </c>
      <c r="H29" s="240" t="s">
        <v>2000</v>
      </c>
      <c r="I29" s="240" t="s">
        <v>2001</v>
      </c>
      <c r="J29" s="242" t="str">
        <f>IFERROR(IF(N29&lt;&gt;"",M29,IF(I29 = PARÂMETROS!$B$5,Q29, IF(I29 = PARÂMETROS!$B$6,R29,IF(I29 = PARÂMETROS!$B$7,S29,IF(I29 = PARÂMETROS!$B$8, T29,"DEFINIR CRITÉRIO"))))),"SEM PREÇO")</f>
        <v>DEFINIR CRITÉRIO</v>
      </c>
      <c r="K29" s="241" t="str">
        <f t="shared" si="0"/>
        <v/>
      </c>
      <c r="L29" s="238" t="str">
        <f t="shared" si="1"/>
        <v/>
      </c>
      <c r="M29" s="51"/>
      <c r="N29" s="52"/>
      <c r="O29" s="53"/>
      <c r="P29" s="235">
        <f t="shared" si="2"/>
        <v>98.971088435374142</v>
      </c>
      <c r="Q29" s="236">
        <f t="shared" si="3"/>
        <v>0</v>
      </c>
      <c r="R29" s="236">
        <f t="shared" si="4"/>
        <v>0</v>
      </c>
      <c r="S29" s="236">
        <f t="shared" si="5"/>
        <v>0</v>
      </c>
      <c r="T29" s="236">
        <f t="shared" si="6"/>
        <v>0</v>
      </c>
      <c r="U29" s="237" t="e">
        <f>IF(AA29 = "", "", IF(OR($H29 = PARÂMETROS!$E$5, $H29 = ""), AA29, IF(OR(AA29 &lt; (1-VLOOKUP($H29,PARÂMETROS!$E:$F,2,FALSE))*$P29, AA29 &gt; (1+VLOOKUP($H29,PARÂMETROS!$E:$F,2,FALSE))*$P29),"",AA29)))</f>
        <v>#N/A</v>
      </c>
      <c r="V29" s="237" t="e">
        <f>IF(AG29 = "", "", IF(OR($H29 = PARÂMETROS!$E$5, $H29 = ""), AG29, IF(OR(AG29 &lt; (1-VLOOKUP($H29,PARÂMETROS!$E:$F,2,FALSE))*$P34, AG29 &gt; (1+VLOOKUP($H29,PARÂMETROS!$E:$F,2,FALSE))*$P29),"",AG29)))</f>
        <v>#N/A</v>
      </c>
      <c r="W29" s="237" t="str">
        <f>IF(AM29 = "", "", IF(OR($H29 = PARÂMETROS!$E$5, $H29 = ""), AM29, IF(OR(AM29 &lt; (1-VLOOKUP($H29,PARÂMETROS!$E:$F,2,FALSE))*$P29, AM29 &gt; (1+VLOOKUP($H29,PARÂMETROS!$E:$F,2,FALSE))*$P29),"",AM29)))</f>
        <v/>
      </c>
      <c r="X29" s="237" t="str">
        <f>IF(AS29 = "", "", IF(OR($H29 = PARÂMETROS!$E$5, $H29 = ""), AS29, IF(OR(AS29 &lt; (1-VLOOKUP($H29,PARÂMETROS!$E:$F,2,FALSE))*$P29, AS29 &gt; (1+VLOOKUP($H29,PARÂMETROS!$E:$F,2,FALSE))*$P29),"",AS29)))</f>
        <v/>
      </c>
      <c r="Y29" s="237" t="str">
        <f>IF(AY29 = "", "", IF(OR($H29 = PARÂMETROS!$E$5, $H29 = ""), AY29, IF(OR(AY29 &lt; (1-VLOOKUP($H29,PARÂMETROS!$E:$F,2,FALSE))*$P29, AY29 &gt; (1+VLOOKUP($H29,PARÂMETROS!$E:$F,2,FALSE))*$P29),"",AY29)))</f>
        <v/>
      </c>
      <c r="Z29" s="237" t="str">
        <f>IF(BE29 = "", "", IF(OR($H29 = PARÂMETROS!$E$5, $H29 = ""), BE29, IF(OR(BE29 &lt; (1-VLOOKUP($H29,PARÂMETROS!$E:$F,2,FALSE))*$P29, BE29 &gt; (1+VLOOKUP($H29,PARÂMETROS!$E:$F,2,FALSE))*$P29),"",BE29)))</f>
        <v/>
      </c>
      <c r="AA29" s="207">
        <v>103.91292517006802</v>
      </c>
      <c r="AB29" s="208">
        <v>657</v>
      </c>
      <c r="AC29" s="206" t="e">
        <f>IF(AND(OR(AA29="",AA29=0),OR(AA29="",AB29=0)),"",IF(OR(AA29="",AA29=0),"DEFINIR PREÇO",IF(OR(AB29="",AB29=0),"DEFINIR FORNECEDOR",IF(OR(AA29&lt;&gt;"",AA29&lt;&gt;0),VLOOKUP(AB29,#REF!,2,FALSE)))))</f>
        <v>#REF!</v>
      </c>
      <c r="AD29" s="217" t="s">
        <v>1977</v>
      </c>
      <c r="AE29" s="218">
        <v>44939</v>
      </c>
      <c r="AF29" s="220" t="str">
        <f t="shared" ca="1" si="7"/>
        <v>DESATUALIZADA</v>
      </c>
      <c r="AG29" s="229">
        <f>1382.23/(2.45*6)</f>
        <v>94.029251700680263</v>
      </c>
      <c r="AH29" s="231">
        <v>10</v>
      </c>
      <c r="AI29" s="206"/>
      <c r="AJ29" s="217" t="s">
        <v>1980</v>
      </c>
      <c r="AK29" s="218">
        <v>44953</v>
      </c>
      <c r="AL29" s="220" t="str">
        <f t="shared" ca="1" si="8"/>
        <v>DESATUALIZADA</v>
      </c>
      <c r="AM29" s="229"/>
      <c r="AN29" s="231"/>
      <c r="AO29" s="206"/>
      <c r="AP29" s="217"/>
      <c r="AQ29" s="218"/>
      <c r="AR29" s="220" t="str">
        <f t="shared" ca="1" si="9"/>
        <v/>
      </c>
      <c r="AS29" s="229"/>
      <c r="AT29" s="231"/>
      <c r="AU29" s="191" t="str">
        <f>IF(AND(OR(AS29="",AS29=0),OR(AS29="",AT29=0)),"",IF(OR(AS29="",AS29=0),"DEFINIR PREÇO",IF(OR(AT29="",AT29=0),"DEFINIR FORNECEDOR",IF(OR(AS29&lt;&gt;"",AS29&lt;&gt;0),VLOOKUP(AT29,#REF!,2,FALSE)))))</f>
        <v/>
      </c>
      <c r="AV29" s="217"/>
      <c r="AW29" s="218"/>
      <c r="AX29" s="220" t="str">
        <f t="shared" ca="1" si="10"/>
        <v/>
      </c>
      <c r="AY29" s="229"/>
      <c r="AZ29" s="234"/>
      <c r="BA29" s="209" t="str">
        <f>IF(AND(OR(AY29="",AY29=0),OR(AY29="",AZ29=0)),"",IF(OR(AY29="",AY29=0),"DEFINIR PREÇO",IF(OR(AZ29="",AZ29=0),"DEFINIR FORNECEDOR",IF(OR(AY29&lt;&gt;"",AY29&lt;&gt;0),VLOOKUP(AZ29,#REF!,2,FALSE)))))</f>
        <v/>
      </c>
      <c r="BB29" s="217"/>
      <c r="BC29" s="218"/>
      <c r="BD29" s="220" t="str">
        <f t="shared" ca="1" si="11"/>
        <v/>
      </c>
      <c r="BE29" s="195"/>
      <c r="BF29" s="196"/>
      <c r="BG29" s="194"/>
      <c r="BH29" s="194"/>
      <c r="BI29" s="194"/>
      <c r="BJ29" s="197"/>
    </row>
    <row r="30" spans="1:62" ht="30" x14ac:dyDescent="0.25">
      <c r="A30" s="44" t="s">
        <v>405</v>
      </c>
      <c r="B30" s="58" t="s">
        <v>1148</v>
      </c>
      <c r="C30" s="45">
        <v>4</v>
      </c>
      <c r="D30" s="55" t="s">
        <v>1145</v>
      </c>
      <c r="E30" s="45" t="s">
        <v>29</v>
      </c>
      <c r="F30" s="46" t="str">
        <f t="shared" si="14"/>
        <v>DEFINIR CRITÉRIO</v>
      </c>
      <c r="G30" s="47" t="str">
        <f t="shared" si="13"/>
        <v>DEFINIR CRITÉRIO</v>
      </c>
      <c r="H30" s="240" t="s">
        <v>2000</v>
      </c>
      <c r="I30" s="240" t="s">
        <v>2001</v>
      </c>
      <c r="J30" s="242" t="str">
        <f>IFERROR(IF(N30&lt;&gt;"",M30,IF(I30 = PARÂMETROS!$B$5,Q30, IF(I30 = PARÂMETROS!$B$6,R30,IF(I30 = PARÂMETROS!$B$7,S30,IF(I30 = PARÂMETROS!$B$8, T30,"DEFINIR CRITÉRIO"))))),"SEM PREÇO")</f>
        <v>DEFINIR CRITÉRIO</v>
      </c>
      <c r="K30" s="241" t="str">
        <f t="shared" si="0"/>
        <v/>
      </c>
      <c r="L30" s="238" t="str">
        <f t="shared" si="1"/>
        <v/>
      </c>
      <c r="M30" s="51"/>
      <c r="N30" s="52"/>
      <c r="O30" s="53"/>
      <c r="P30" s="235">
        <f t="shared" si="2"/>
        <v>54.698639455782313</v>
      </c>
      <c r="Q30" s="236">
        <f t="shared" si="3"/>
        <v>0</v>
      </c>
      <c r="R30" s="236">
        <f t="shared" si="4"/>
        <v>0</v>
      </c>
      <c r="S30" s="236">
        <f t="shared" si="5"/>
        <v>0</v>
      </c>
      <c r="T30" s="236">
        <f t="shared" si="6"/>
        <v>0</v>
      </c>
      <c r="U30" s="237" t="e">
        <f>IF(AA30 = "", "", IF(OR($H30 = PARÂMETROS!$E$5, $H30 = ""), AA30, IF(OR(AA30 &lt; (1-VLOOKUP($H30,PARÂMETROS!$E:$F,2,FALSE))*$P30, AA30 &gt; (1+VLOOKUP($H30,PARÂMETROS!$E:$F,2,FALSE))*$P30),"",AA30)))</f>
        <v>#N/A</v>
      </c>
      <c r="V30" s="237" t="str">
        <f>IF(AG30 = "", "", IF(OR($H30 = PARÂMETROS!$E$5, $H30 = ""), AG30, IF(OR(AG30 &lt; (1-VLOOKUP($H30,PARÂMETROS!$E:$F,2,FALSE))*$P35, AG30 &gt; (1+VLOOKUP($H30,PARÂMETROS!$E:$F,2,FALSE))*$P30),"",AG30)))</f>
        <v/>
      </c>
      <c r="W30" s="237" t="str">
        <f>IF(AM30 = "", "", IF(OR($H30 = PARÂMETROS!$E$5, $H30 = ""), AM30, IF(OR(AM30 &lt; (1-VLOOKUP($H30,PARÂMETROS!$E:$F,2,FALSE))*$P30, AM30 &gt; (1+VLOOKUP($H30,PARÂMETROS!$E:$F,2,FALSE))*$P30),"",AM30)))</f>
        <v/>
      </c>
      <c r="X30" s="237" t="str">
        <f>IF(AS30 = "", "", IF(OR($H30 = PARÂMETROS!$E$5, $H30 = ""), AS30, IF(OR(AS30 &lt; (1-VLOOKUP($H30,PARÂMETROS!$E:$F,2,FALSE))*$P30, AS30 &gt; (1+VLOOKUP($H30,PARÂMETROS!$E:$F,2,FALSE))*$P30),"",AS30)))</f>
        <v/>
      </c>
      <c r="Y30" s="237" t="str">
        <f>IF(AY30 = "", "", IF(OR($H30 = PARÂMETROS!$E$5, $H30 = ""), AY30, IF(OR(AY30 &lt; (1-VLOOKUP($H30,PARÂMETROS!$E:$F,2,FALSE))*$P30, AY30 &gt; (1+VLOOKUP($H30,PARÂMETROS!$E:$F,2,FALSE))*$P30),"",AY30)))</f>
        <v/>
      </c>
      <c r="Z30" s="237" t="str">
        <f>IF(BE30 = "", "", IF(OR($H30 = PARÂMETROS!$E$5, $H30 = ""), BE30, IF(OR(BE30 &lt; (1-VLOOKUP($H30,PARÂMETROS!$E:$F,2,FALSE))*$P30, BE30 &gt; (1+VLOOKUP($H30,PARÂMETROS!$E:$F,2,FALSE))*$P30),"",BE30)))</f>
        <v/>
      </c>
      <c r="AA30" s="207">
        <v>54.698639455782313</v>
      </c>
      <c r="AB30" s="208">
        <v>10</v>
      </c>
      <c r="AC30" s="206" t="e">
        <f>IF(AND(OR(AA30="",AA30=0),OR(AA30="",AB30=0)),"",IF(OR(AA30="",AA30=0),"DEFINIR PREÇO",IF(OR(AB30="",AB30=0),"DEFINIR FORNECEDOR",IF(OR(AA30&lt;&gt;"",AA30&lt;&gt;0),VLOOKUP(AB30,#REF!,2,FALSE)))))</f>
        <v>#REF!</v>
      </c>
      <c r="AD30" s="217" t="s">
        <v>1980</v>
      </c>
      <c r="AE30" s="218">
        <v>44953</v>
      </c>
      <c r="AF30" s="220" t="str">
        <f t="shared" ca="1" si="7"/>
        <v>DESATUALIZADA</v>
      </c>
      <c r="AG30" s="229"/>
      <c r="AH30" s="231"/>
      <c r="AI30" s="206"/>
      <c r="AJ30" s="217"/>
      <c r="AK30" s="218"/>
      <c r="AL30" s="220" t="str">
        <f t="shared" ca="1" si="8"/>
        <v/>
      </c>
      <c r="AM30" s="229"/>
      <c r="AN30" s="231"/>
      <c r="AO30" s="206"/>
      <c r="AP30" s="217"/>
      <c r="AQ30" s="218"/>
      <c r="AR30" s="220" t="str">
        <f t="shared" ca="1" si="9"/>
        <v/>
      </c>
      <c r="AS30" s="229"/>
      <c r="AT30" s="231"/>
      <c r="AU30" s="191" t="str">
        <f>IF(AND(OR(AS30="",AS30=0),OR(AS30="",AT30=0)),"",IF(OR(AS30="",AS30=0),"DEFINIR PREÇO",IF(OR(AT30="",AT30=0),"DEFINIR FORNECEDOR",IF(OR(AS30&lt;&gt;"",AS30&lt;&gt;0),VLOOKUP(AT30,#REF!,2,FALSE)))))</f>
        <v/>
      </c>
      <c r="AV30" s="217"/>
      <c r="AW30" s="218"/>
      <c r="AX30" s="220" t="str">
        <f t="shared" ca="1" si="10"/>
        <v/>
      </c>
      <c r="AY30" s="229"/>
      <c r="AZ30" s="234"/>
      <c r="BA30" s="209" t="str">
        <f>IF(AND(OR(AY30="",AY30=0),OR(AY30="",AZ30=0)),"",IF(OR(AY30="",AY30=0),"DEFINIR PREÇO",IF(OR(AZ30="",AZ30=0),"DEFINIR FORNECEDOR",IF(OR(AY30&lt;&gt;"",AY30&lt;&gt;0),VLOOKUP(AZ30,#REF!,2,FALSE)))))</f>
        <v/>
      </c>
      <c r="BB30" s="217"/>
      <c r="BC30" s="218"/>
      <c r="BD30" s="220" t="str">
        <f t="shared" ca="1" si="11"/>
        <v/>
      </c>
      <c r="BE30" s="195"/>
      <c r="BF30" s="196"/>
      <c r="BG30" s="194"/>
      <c r="BH30" s="194"/>
      <c r="BI30" s="194"/>
      <c r="BJ30" s="197"/>
    </row>
    <row r="31" spans="1:62" x14ac:dyDescent="0.25">
      <c r="A31" s="44" t="s">
        <v>405</v>
      </c>
      <c r="B31" s="45" t="s">
        <v>32</v>
      </c>
      <c r="C31" s="45">
        <v>4</v>
      </c>
      <c r="D31" s="55" t="s">
        <v>30</v>
      </c>
      <c r="E31" s="45" t="s">
        <v>29</v>
      </c>
      <c r="F31" s="46" t="e">
        <f t="shared" ref="F31:F36" si="15">J31</f>
        <v>#REF!</v>
      </c>
      <c r="G31" s="47" t="e">
        <f t="shared" ref="G31:G36" si="16">J31</f>
        <v>#REF!</v>
      </c>
      <c r="H31" s="240" t="s">
        <v>2000</v>
      </c>
      <c r="I31" s="240" t="s">
        <v>2001</v>
      </c>
      <c r="J31" s="57" t="e">
        <f>M31*12.4</f>
        <v>#REF!</v>
      </c>
      <c r="K31" s="241" t="e">
        <f t="shared" si="0"/>
        <v>#REF!</v>
      </c>
      <c r="L31" s="238" t="e">
        <f t="shared" si="1"/>
        <v>#REF!</v>
      </c>
      <c r="M31" s="51" t="e">
        <f>VLOOKUP(N31,#REF!,4,FALSE)</f>
        <v>#REF!</v>
      </c>
      <c r="N31" s="52">
        <v>11027</v>
      </c>
      <c r="O31" s="53" t="s">
        <v>404</v>
      </c>
      <c r="P31" s="235">
        <f t="shared" si="2"/>
        <v>0</v>
      </c>
      <c r="Q31" s="236">
        <f t="shared" si="3"/>
        <v>0</v>
      </c>
      <c r="R31" s="236">
        <f t="shared" si="4"/>
        <v>0</v>
      </c>
      <c r="S31" s="236">
        <f t="shared" si="5"/>
        <v>0</v>
      </c>
      <c r="T31" s="236">
        <f t="shared" si="6"/>
        <v>0</v>
      </c>
      <c r="U31" s="237" t="str">
        <f>IF(AA31 = "", "", IF(OR($H31 = PARÂMETROS!$E$5, $H31 = ""), AA31, IF(OR(AA31 &lt; (1-VLOOKUP($H31,PARÂMETROS!$E:$F,2,FALSE))*$P31, AA31 &gt; (1+VLOOKUP($H31,PARÂMETROS!$E:$F,2,FALSE))*$P31),"",AA31)))</f>
        <v/>
      </c>
      <c r="V31" s="237" t="str">
        <f>IF(AG31 = "", "", IF(OR($H31 = PARÂMETROS!$E$5, $H31 = ""), AG31, IF(OR(AG31 &lt; (1-VLOOKUP($H31,PARÂMETROS!$E:$F,2,FALSE))*$P36, AG31 &gt; (1+VLOOKUP($H31,PARÂMETROS!$E:$F,2,FALSE))*$P31),"",AG31)))</f>
        <v/>
      </c>
      <c r="W31" s="237" t="str">
        <f>IF(AM31 = "", "", IF(OR($H31 = PARÂMETROS!$E$5, $H31 = ""), AM31, IF(OR(AM31 &lt; (1-VLOOKUP($H31,PARÂMETROS!$E:$F,2,FALSE))*$P31, AM31 &gt; (1+VLOOKUP($H31,PARÂMETROS!$E:$F,2,FALSE))*$P31),"",AM31)))</f>
        <v/>
      </c>
      <c r="X31" s="237" t="str">
        <f>IF(AS31 = "", "", IF(OR($H31 = PARÂMETROS!$E$5, $H31 = ""), AS31, IF(OR(AS31 &lt; (1-VLOOKUP($H31,PARÂMETROS!$E:$F,2,FALSE))*$P31, AS31 &gt; (1+VLOOKUP($H31,PARÂMETROS!$E:$F,2,FALSE))*$P31),"",AS31)))</f>
        <v/>
      </c>
      <c r="Y31" s="237" t="str">
        <f>IF(AY31 = "", "", IF(OR($H31 = PARÂMETROS!$E$5, $H31 = ""), AY31, IF(OR(AY31 &lt; (1-VLOOKUP($H31,PARÂMETROS!$E:$F,2,FALSE))*$P31, AY31 &gt; (1+VLOOKUP($H31,PARÂMETROS!$E:$F,2,FALSE))*$P31),"",AY31)))</f>
        <v/>
      </c>
      <c r="Z31" s="237" t="str">
        <f>IF(BE31 = "", "", IF(OR($H31 = PARÂMETROS!$E$5, $H31 = ""), BE31, IF(OR(BE31 &lt; (1-VLOOKUP($H31,PARÂMETROS!$E:$F,2,FALSE))*$P31, BE31 &gt; (1+VLOOKUP($H31,PARÂMETROS!$E:$F,2,FALSE))*$P31),"",BE31)))</f>
        <v/>
      </c>
      <c r="AA31" s="207"/>
      <c r="AB31" s="208"/>
      <c r="AC31" s="206"/>
      <c r="AD31" s="217"/>
      <c r="AE31" s="218"/>
      <c r="AF31" s="220" t="str">
        <f t="shared" ca="1" si="7"/>
        <v/>
      </c>
      <c r="AG31" s="229"/>
      <c r="AH31" s="231"/>
      <c r="AI31" s="206"/>
      <c r="AJ31" s="217"/>
      <c r="AK31" s="218"/>
      <c r="AL31" s="220" t="str">
        <f t="shared" ca="1" si="8"/>
        <v/>
      </c>
      <c r="AM31" s="229"/>
      <c r="AN31" s="231"/>
      <c r="AO31" s="206"/>
      <c r="AP31" s="217"/>
      <c r="AQ31" s="218"/>
      <c r="AR31" s="220" t="str">
        <f t="shared" ca="1" si="9"/>
        <v/>
      </c>
      <c r="AS31" s="229"/>
      <c r="AT31" s="231"/>
      <c r="AU31" s="191" t="str">
        <f>IF(AND(OR(AS31="",AS31=0),OR(AS31="",AT31=0)),"",IF(OR(AS31="",AS31=0),"DEFINIR PREÇO",IF(OR(AT31="",AT31=0),"DEFINIR FORNECEDOR",IF(OR(AS31&lt;&gt;"",AS31&lt;&gt;0),VLOOKUP(AT31,#REF!,2,FALSE)))))</f>
        <v/>
      </c>
      <c r="AV31" s="217"/>
      <c r="AW31" s="218"/>
      <c r="AX31" s="220" t="str">
        <f t="shared" ca="1" si="10"/>
        <v/>
      </c>
      <c r="AY31" s="229"/>
      <c r="AZ31" s="234"/>
      <c r="BA31" s="209" t="str">
        <f>IF(AND(OR(AY31="",AY31=0),OR(AY31="",AZ31=0)),"",IF(OR(AY31="",AY31=0),"DEFINIR PREÇO",IF(OR(AZ31="",AZ31=0),"DEFINIR FORNECEDOR",IF(OR(AY31&lt;&gt;"",AY31&lt;&gt;0),VLOOKUP(AZ31,#REF!,2,FALSE)))))</f>
        <v/>
      </c>
      <c r="BB31" s="217"/>
      <c r="BC31" s="218"/>
      <c r="BD31" s="220" t="str">
        <f t="shared" ca="1" si="11"/>
        <v/>
      </c>
      <c r="BE31" s="195"/>
      <c r="BF31" s="196"/>
      <c r="BG31" s="191"/>
      <c r="BH31" s="192"/>
      <c r="BI31" s="192"/>
      <c r="BJ31" s="193"/>
    </row>
    <row r="32" spans="1:62" ht="30" x14ac:dyDescent="0.25">
      <c r="A32" s="44" t="s">
        <v>405</v>
      </c>
      <c r="B32" s="45" t="s">
        <v>390</v>
      </c>
      <c r="C32" s="45">
        <v>4</v>
      </c>
      <c r="D32" s="55" t="s">
        <v>391</v>
      </c>
      <c r="E32" s="45" t="s">
        <v>20</v>
      </c>
      <c r="F32" s="46" t="str">
        <f t="shared" si="15"/>
        <v>DEFINIR CRITÉRIO</v>
      </c>
      <c r="G32" s="47" t="str">
        <f t="shared" si="16"/>
        <v>DEFINIR CRITÉRIO</v>
      </c>
      <c r="H32" s="240" t="s">
        <v>2000</v>
      </c>
      <c r="I32" s="240" t="s">
        <v>2001</v>
      </c>
      <c r="J32" s="242" t="str">
        <f>IFERROR(IF(N32&lt;&gt;"",M32,IF(I32 = PARÂMETROS!$B$5,Q32, IF(I32 = PARÂMETROS!$B$6,R32,IF(I32 = PARÂMETROS!$B$7,S32,IF(I32 = PARÂMETROS!$B$8, T32,"DEFINIR CRITÉRIO"))))),"SEM PREÇO")</f>
        <v>DEFINIR CRITÉRIO</v>
      </c>
      <c r="K32" s="241" t="str">
        <f t="shared" si="0"/>
        <v/>
      </c>
      <c r="L32" s="238" t="str">
        <f t="shared" si="1"/>
        <v/>
      </c>
      <c r="M32" s="51"/>
      <c r="N32" s="52"/>
      <c r="O32" s="53"/>
      <c r="P32" s="235">
        <f t="shared" si="2"/>
        <v>3.7261111111111109</v>
      </c>
      <c r="Q32" s="236">
        <f t="shared" si="3"/>
        <v>0</v>
      </c>
      <c r="R32" s="236">
        <f t="shared" si="4"/>
        <v>0</v>
      </c>
      <c r="S32" s="236">
        <f t="shared" si="5"/>
        <v>0</v>
      </c>
      <c r="T32" s="236">
        <f t="shared" si="6"/>
        <v>0</v>
      </c>
      <c r="U32" s="237" t="e">
        <f>IF(AA32 = "", "", IF(OR($H32 = PARÂMETROS!$E$5, $H32 = ""), AA32, IF(OR(AA32 &lt; (1-VLOOKUP($H32,PARÂMETROS!$E:$F,2,FALSE))*$P32, AA32 &gt; (1+VLOOKUP($H32,PARÂMETROS!$E:$F,2,FALSE))*$P32),"",AA32)))</f>
        <v>#N/A</v>
      </c>
      <c r="V32" s="237" t="e">
        <f>IF(AG32 = "", "", IF(OR($H32 = PARÂMETROS!$E$5, $H32 = ""), AG32, IF(OR(AG32 &lt; (1-VLOOKUP($H32,PARÂMETROS!$E:$F,2,FALSE))*$P37, AG32 &gt; (1+VLOOKUP($H32,PARÂMETROS!$E:$F,2,FALSE))*$P32),"",AG32)))</f>
        <v>#N/A</v>
      </c>
      <c r="W32" s="237" t="e">
        <f>IF(AM32 = "", "", IF(OR($H32 = PARÂMETROS!$E$5, $H32 = ""), AM32, IF(OR(AM32 &lt; (1-VLOOKUP($H32,PARÂMETROS!$E:$F,2,FALSE))*$P32, AM32 &gt; (1+VLOOKUP($H32,PARÂMETROS!$E:$F,2,FALSE))*$P32),"",AM32)))</f>
        <v>#N/A</v>
      </c>
      <c r="X32" s="237" t="str">
        <f>IF(AS32 = "", "", IF(OR($H32 = PARÂMETROS!$E$5, $H32 = ""), AS32, IF(OR(AS32 &lt; (1-VLOOKUP($H32,PARÂMETROS!$E:$F,2,FALSE))*$P32, AS32 &gt; (1+VLOOKUP($H32,PARÂMETROS!$E:$F,2,FALSE))*$P32),"",AS32)))</f>
        <v/>
      </c>
      <c r="Y32" s="237" t="str">
        <f>IF(AY32 = "", "", IF(OR($H32 = PARÂMETROS!$E$5, $H32 = ""), AY32, IF(OR(AY32 &lt; (1-VLOOKUP($H32,PARÂMETROS!$E:$F,2,FALSE))*$P32, AY32 &gt; (1+VLOOKUP($H32,PARÂMETROS!$E:$F,2,FALSE))*$P32),"",AY32)))</f>
        <v/>
      </c>
      <c r="Z32" s="237" t="str">
        <f>IF(BE32 = "", "", IF(OR($H32 = PARÂMETROS!$E$5, $H32 = ""), BE32, IF(OR(BE32 &lt; (1-VLOOKUP($H32,PARÂMETROS!$E:$F,2,FALSE))*$P32, BE32 &gt; (1+VLOOKUP($H32,PARÂMETROS!$E:$F,2,FALSE))*$P32),"",BE32)))</f>
        <v/>
      </c>
      <c r="AA32" s="207">
        <f>19.13/6</f>
        <v>3.188333333333333</v>
      </c>
      <c r="AB32" s="208">
        <v>657</v>
      </c>
      <c r="AC32" s="206" t="e">
        <f>IF(AND(OR(AA32="",AA32=0),OR(AA32="",AB32=0)),"",IF(OR(AA32="",AA32=0),"DEFINIR PREÇO",IF(OR(AB32="",AB32=0),"DEFINIR FORNECEDOR",IF(OR(AA32&lt;&gt;"",AA32&lt;&gt;0),VLOOKUP(AB32,#REF!,2,FALSE)))))</f>
        <v>#REF!</v>
      </c>
      <c r="AD32" s="217" t="s">
        <v>1977</v>
      </c>
      <c r="AE32" s="218">
        <v>44939</v>
      </c>
      <c r="AF32" s="220" t="str">
        <f t="shared" ca="1" si="7"/>
        <v>DESATUALIZADA</v>
      </c>
      <c r="AG32" s="229">
        <f>23.5/6</f>
        <v>3.9166666666666665</v>
      </c>
      <c r="AH32" s="231">
        <v>1674</v>
      </c>
      <c r="AI32" s="206" t="e">
        <f>IF(AND(OR(AG32="",AG32=0),OR(AG32="",AH32=0)),"",IF(OR(AG32="",AG32=0),"DEFINIR PREÇO",IF(OR(AH32="",AH32=0),"DEFINIR FORNECEDOR",IF(OR(AG32&lt;&gt;"",AG32&lt;&gt;0),VLOOKUP(AH32,#REF!,2,FALSE)))))</f>
        <v>#REF!</v>
      </c>
      <c r="AJ32" s="217" t="s">
        <v>1977</v>
      </c>
      <c r="AK32" s="218">
        <v>44939</v>
      </c>
      <c r="AL32" s="220" t="str">
        <f t="shared" ca="1" si="8"/>
        <v>DESATUALIZADA</v>
      </c>
      <c r="AM32" s="229">
        <f>24.44/6</f>
        <v>4.0733333333333333</v>
      </c>
      <c r="AN32" s="231">
        <v>736</v>
      </c>
      <c r="AO32" s="206" t="e">
        <f>IF(AND(OR(AM32="",AM32=0),OR(AM32="",AN32=0)),"",IF(OR(AM32="",AM32=0),"DEFINIR PREÇO",IF(OR(AN32="",AN32=0),"DEFINIR FORNECEDOR",IF(OR(AM32&lt;&gt;"",AM32&lt;&gt;0),VLOOKUP(AN32,#REF!,2,FALSE)))))</f>
        <v>#REF!</v>
      </c>
      <c r="AP32" s="217" t="s">
        <v>1977</v>
      </c>
      <c r="AQ32" s="218">
        <v>44939</v>
      </c>
      <c r="AR32" s="220" t="str">
        <f t="shared" ca="1" si="9"/>
        <v>DESATUALIZADA</v>
      </c>
      <c r="AS32" s="229"/>
      <c r="AT32" s="231"/>
      <c r="AU32" s="191" t="str">
        <f>IF(AND(OR(AS32="",AS32=0),OR(AS32="",AT32=0)),"",IF(OR(AS32="",AS32=0),"DEFINIR PREÇO",IF(OR(AT32="",AT32=0),"DEFINIR FORNECEDOR",IF(OR(AS32&lt;&gt;"",AS32&lt;&gt;0),VLOOKUP(AT32,#REF!,2,FALSE)))))</f>
        <v/>
      </c>
      <c r="AV32" s="217"/>
      <c r="AW32" s="218"/>
      <c r="AX32" s="220" t="str">
        <f t="shared" ca="1" si="10"/>
        <v/>
      </c>
      <c r="AY32" s="229"/>
      <c r="AZ32" s="234"/>
      <c r="BA32" s="209" t="str">
        <f>IF(AND(OR(AY32="",AY32=0),OR(AY32="",AZ32=0)),"",IF(OR(AY32="",AY32=0),"DEFINIR PREÇO",IF(OR(AZ32="",AZ32=0),"DEFINIR FORNECEDOR",IF(OR(AY32&lt;&gt;"",AY32&lt;&gt;0),VLOOKUP(AZ32,#REF!,2,FALSE)))))</f>
        <v/>
      </c>
      <c r="BB32" s="217"/>
      <c r="BC32" s="218"/>
      <c r="BD32" s="220" t="str">
        <f t="shared" ca="1" si="11"/>
        <v/>
      </c>
      <c r="BE32" s="195"/>
      <c r="BF32" s="196"/>
      <c r="BG32" s="191"/>
      <c r="BH32" s="192"/>
      <c r="BI32" s="192"/>
      <c r="BJ32" s="193"/>
    </row>
    <row r="33" spans="1:62" ht="30" x14ac:dyDescent="0.25">
      <c r="A33" s="44" t="s">
        <v>405</v>
      </c>
      <c r="B33" s="58" t="s">
        <v>99</v>
      </c>
      <c r="C33" s="45">
        <v>4</v>
      </c>
      <c r="D33" s="55" t="s">
        <v>93</v>
      </c>
      <c r="E33" s="45" t="s">
        <v>29</v>
      </c>
      <c r="F33" s="46" t="str">
        <f t="shared" si="15"/>
        <v>DEFINIR CRITÉRIO</v>
      </c>
      <c r="G33" s="47" t="str">
        <f t="shared" si="16"/>
        <v>DEFINIR CRITÉRIO</v>
      </c>
      <c r="H33" s="240" t="s">
        <v>2000</v>
      </c>
      <c r="I33" s="240" t="s">
        <v>2001</v>
      </c>
      <c r="J33" s="242" t="str">
        <f>IFERROR(IF(N33&lt;&gt;"",M33,IF(I33 = PARÂMETROS!$B$5,Q33, IF(I33 = PARÂMETROS!$B$6,R33,IF(I33 = PARÂMETROS!$B$7,S33,IF(I33 = PARÂMETROS!$B$8, T33,"DEFINIR CRITÉRIO"))))),"SEM PREÇO")</f>
        <v>DEFINIR CRITÉRIO</v>
      </c>
      <c r="K33" s="241" t="str">
        <f t="shared" si="0"/>
        <v/>
      </c>
      <c r="L33" s="238" t="str">
        <f t="shared" si="1"/>
        <v/>
      </c>
      <c r="M33" s="51"/>
      <c r="N33" s="52"/>
      <c r="O33" s="53"/>
      <c r="P33" s="235">
        <f t="shared" si="2"/>
        <v>26.25</v>
      </c>
      <c r="Q33" s="236">
        <f t="shared" si="3"/>
        <v>0</v>
      </c>
      <c r="R33" s="236">
        <f t="shared" si="4"/>
        <v>0</v>
      </c>
      <c r="S33" s="236">
        <f t="shared" si="5"/>
        <v>0</v>
      </c>
      <c r="T33" s="236">
        <f t="shared" si="6"/>
        <v>0</v>
      </c>
      <c r="U33" s="237" t="e">
        <f>IF(AA33 = "", "", IF(OR($H33 = PARÂMETROS!$E$5, $H33 = ""), AA33, IF(OR(AA33 &lt; (1-VLOOKUP($H33,PARÂMETROS!$E:$F,2,FALSE))*$P33, AA33 &gt; (1+VLOOKUP($H33,PARÂMETROS!$E:$F,2,FALSE))*$P33),"",AA33)))</f>
        <v>#N/A</v>
      </c>
      <c r="V33" s="237" t="e">
        <f>IF(AG33 = "", "", IF(OR($H33 = PARÂMETROS!$E$5, $H33 = ""), AG33, IF(OR(AG33 &lt; (1-VLOOKUP($H33,PARÂMETROS!$E:$F,2,FALSE))*$P38, AG33 &gt; (1+VLOOKUP($H33,PARÂMETROS!$E:$F,2,FALSE))*$P33),"",AG33)))</f>
        <v>#N/A</v>
      </c>
      <c r="W33" s="237" t="str">
        <f>IF(AM33 = "", "", IF(OR($H33 = PARÂMETROS!$E$5, $H33 = ""), AM33, IF(OR(AM33 &lt; (1-VLOOKUP($H33,PARÂMETROS!$E:$F,2,FALSE))*$P33, AM33 &gt; (1+VLOOKUP($H33,PARÂMETROS!$E:$F,2,FALSE))*$P33),"",AM33)))</f>
        <v/>
      </c>
      <c r="X33" s="237" t="str">
        <f>IF(AS33 = "", "", IF(OR($H33 = PARÂMETROS!$E$5, $H33 = ""), AS33, IF(OR(AS33 &lt; (1-VLOOKUP($H33,PARÂMETROS!$E:$F,2,FALSE))*$P33, AS33 &gt; (1+VLOOKUP($H33,PARÂMETROS!$E:$F,2,FALSE))*$P33),"",AS33)))</f>
        <v/>
      </c>
      <c r="Y33" s="237" t="str">
        <f>IF(AY33 = "", "", IF(OR($H33 = PARÂMETROS!$E$5, $H33 = ""), AY33, IF(OR(AY33 &lt; (1-VLOOKUP($H33,PARÂMETROS!$E:$F,2,FALSE))*$P33, AY33 &gt; (1+VLOOKUP($H33,PARÂMETROS!$E:$F,2,FALSE))*$P33),"",AY33)))</f>
        <v/>
      </c>
      <c r="Z33" s="237" t="str">
        <f>IF(BE33 = "", "", IF(OR($H33 = PARÂMETROS!$E$5, $H33 = ""), BE33, IF(OR(BE33 &lt; (1-VLOOKUP($H33,PARÂMETROS!$E:$F,2,FALSE))*$P33, BE33 &gt; (1+VLOOKUP($H33,PARÂMETROS!$E:$F,2,FALSE))*$P33),"",BE33)))</f>
        <v/>
      </c>
      <c r="AA33" s="207">
        <v>29.5</v>
      </c>
      <c r="AB33" s="208">
        <v>490</v>
      </c>
      <c r="AC33" s="206" t="e">
        <f>IF(AND(OR(AA33="",AA33=0),OR(AA33="",AB33=0)),"",IF(OR(AA33="",AA33=0),"DEFINIR PREÇO",IF(OR(AB33="",AB33=0),"DEFINIR FORNECEDOR",IF(OR(AA33&lt;&gt;"",AA33&lt;&gt;0),VLOOKUP(AB33,#REF!,2,FALSE)))))</f>
        <v>#REF!</v>
      </c>
      <c r="AD33" s="217" t="s">
        <v>1981</v>
      </c>
      <c r="AE33" s="218">
        <v>44946</v>
      </c>
      <c r="AF33" s="220" t="str">
        <f t="shared" ca="1" si="7"/>
        <v>DESATUALIZADA</v>
      </c>
      <c r="AG33" s="229">
        <v>23</v>
      </c>
      <c r="AH33" s="231">
        <v>491</v>
      </c>
      <c r="AI33" s="206" t="e">
        <f>IF(AND(OR(AG33="",AG33=0),OR(AG33="",AH33=0)),"",IF(OR(AG33="",AG33=0),"DEFINIR PREÇO",IF(OR(AH33="",AH33=0),"DEFINIR FORNECEDOR",IF(OR(AG33&lt;&gt;"",AG33&lt;&gt;0),VLOOKUP(AH33,#REF!,2,FALSE)))))</f>
        <v>#REF!</v>
      </c>
      <c r="AJ33" s="217" t="s">
        <v>1981</v>
      </c>
      <c r="AK33" s="218">
        <v>44952</v>
      </c>
      <c r="AL33" s="220" t="str">
        <f t="shared" ca="1" si="8"/>
        <v>DESATUALIZADA</v>
      </c>
      <c r="AM33" s="229"/>
      <c r="AN33" s="231"/>
      <c r="AO33" s="206" t="str">
        <f>IF(AND(OR(AM33="",AM33=0),OR(AM33="",AN33=0)),"",IF(OR(AM33="",AM33=0),"DEFINIR PREÇO",IF(OR(AN33="",AN33=0),"DEFINIR FORNECEDOR",IF(OR(AM33&lt;&gt;"",AM33&lt;&gt;0),VLOOKUP(AN33,#REF!,2,FALSE)))))</f>
        <v/>
      </c>
      <c r="AP33" s="217"/>
      <c r="AQ33" s="218"/>
      <c r="AR33" s="220" t="str">
        <f t="shared" ca="1" si="9"/>
        <v/>
      </c>
      <c r="AS33" s="229"/>
      <c r="AT33" s="231"/>
      <c r="AU33" s="191" t="str">
        <f>IF(AND(OR(AS33="",AS33=0),OR(AS33="",AT33=0)),"",IF(OR(AS33="",AS33=0),"DEFINIR PREÇO",IF(OR(AT33="",AT33=0),"DEFINIR FORNECEDOR",IF(OR(AS33&lt;&gt;"",AS33&lt;&gt;0),VLOOKUP(AT33,#REF!,2,FALSE)))))</f>
        <v/>
      </c>
      <c r="AV33" s="217"/>
      <c r="AW33" s="218"/>
      <c r="AX33" s="220" t="str">
        <f t="shared" ca="1" si="10"/>
        <v/>
      </c>
      <c r="AY33" s="229"/>
      <c r="AZ33" s="234"/>
      <c r="BA33" s="209" t="str">
        <f>IF(AND(OR(AY33="",AY33=0),OR(AY33="",AZ33=0)),"",IF(OR(AY33="",AY33=0),"DEFINIR PREÇO",IF(OR(AZ33="",AZ33=0),"DEFINIR FORNECEDOR",IF(OR(AY33&lt;&gt;"",AY33&lt;&gt;0),VLOOKUP(AZ33,#REF!,2,FALSE)))))</f>
        <v/>
      </c>
      <c r="BB33" s="217"/>
      <c r="BC33" s="218"/>
      <c r="BD33" s="220" t="str">
        <f t="shared" ca="1" si="11"/>
        <v/>
      </c>
      <c r="BE33" s="195"/>
      <c r="BF33" s="196"/>
      <c r="BG33" s="194"/>
      <c r="BH33" s="194"/>
      <c r="BI33" s="194"/>
      <c r="BJ33" s="197"/>
    </row>
    <row r="34" spans="1:62" ht="30.75" customHeight="1" x14ac:dyDescent="0.25">
      <c r="A34" s="44" t="s">
        <v>405</v>
      </c>
      <c r="B34" s="58" t="s">
        <v>147</v>
      </c>
      <c r="C34" s="45">
        <v>4</v>
      </c>
      <c r="D34" s="55" t="s">
        <v>137</v>
      </c>
      <c r="E34" s="45" t="s">
        <v>29</v>
      </c>
      <c r="F34" s="46" t="str">
        <f t="shared" si="15"/>
        <v>DEFINIR CRITÉRIO</v>
      </c>
      <c r="G34" s="47" t="str">
        <f t="shared" si="16"/>
        <v>DEFINIR CRITÉRIO</v>
      </c>
      <c r="H34" s="240" t="s">
        <v>2000</v>
      </c>
      <c r="I34" s="240" t="s">
        <v>2001</v>
      </c>
      <c r="J34" s="242" t="str">
        <f>IFERROR(IF(N34&lt;&gt;"",M34,IF(I34 = PARÂMETROS!$B$5,Q34, IF(I34 = PARÂMETROS!$B$6,R34,IF(I34 = PARÂMETROS!$B$7,S34,IF(I34 = PARÂMETROS!$B$8, T34,"DEFINIR CRITÉRIO"))))),"SEM PREÇO")</f>
        <v>DEFINIR CRITÉRIO</v>
      </c>
      <c r="K34" s="241" t="str">
        <f t="shared" si="0"/>
        <v/>
      </c>
      <c r="L34" s="238" t="str">
        <f t="shared" si="1"/>
        <v/>
      </c>
      <c r="M34" s="51"/>
      <c r="N34" s="52"/>
      <c r="O34" s="53"/>
      <c r="P34" s="235">
        <f t="shared" si="2"/>
        <v>28.1</v>
      </c>
      <c r="Q34" s="236">
        <f t="shared" si="3"/>
        <v>0</v>
      </c>
      <c r="R34" s="236">
        <f t="shared" si="4"/>
        <v>0</v>
      </c>
      <c r="S34" s="236">
        <f t="shared" si="5"/>
        <v>0</v>
      </c>
      <c r="T34" s="236">
        <f t="shared" si="6"/>
        <v>0</v>
      </c>
      <c r="U34" s="237" t="e">
        <f>IF(AA34 = "", "", IF(OR($H34 = PARÂMETROS!$E$5, $H34 = ""), AA34, IF(OR(AA34 &lt; (1-VLOOKUP($H34,PARÂMETROS!$E:$F,2,FALSE))*$P34, AA34 &gt; (1+VLOOKUP($H34,PARÂMETROS!$E:$F,2,FALSE))*$P34),"",AA34)))</f>
        <v>#N/A</v>
      </c>
      <c r="V34" s="237" t="e">
        <f>IF(AG34 = "", "", IF(OR($H34 = PARÂMETROS!$E$5, $H34 = ""), AG34, IF(OR(AG34 &lt; (1-VLOOKUP($H34,PARÂMETROS!$E:$F,2,FALSE))*$P39, AG34 &gt; (1+VLOOKUP($H34,PARÂMETROS!$E:$F,2,FALSE))*$P34),"",AG34)))</f>
        <v>#N/A</v>
      </c>
      <c r="W34" s="237" t="str">
        <f>IF(AM34 = "", "", IF(OR($H34 = PARÂMETROS!$E$5, $H34 = ""), AM34, IF(OR(AM34 &lt; (1-VLOOKUP($H34,PARÂMETROS!$E:$F,2,FALSE))*$P34, AM34 &gt; (1+VLOOKUP($H34,PARÂMETROS!$E:$F,2,FALSE))*$P34),"",AM34)))</f>
        <v/>
      </c>
      <c r="X34" s="237" t="str">
        <f>IF(AS34 = "", "", IF(OR($H34 = PARÂMETROS!$E$5, $H34 = ""), AS34, IF(OR(AS34 &lt; (1-VLOOKUP($H34,PARÂMETROS!$E:$F,2,FALSE))*$P34, AS34 &gt; (1+VLOOKUP($H34,PARÂMETROS!$E:$F,2,FALSE))*$P34),"",AS34)))</f>
        <v/>
      </c>
      <c r="Y34" s="237" t="str">
        <f>IF(AY34 = "", "", IF(OR($H34 = PARÂMETROS!$E$5, $H34 = ""), AY34, IF(OR(AY34 &lt; (1-VLOOKUP($H34,PARÂMETROS!$E:$F,2,FALSE))*$P34, AY34 &gt; (1+VLOOKUP($H34,PARÂMETROS!$E:$F,2,FALSE))*$P34),"",AY34)))</f>
        <v/>
      </c>
      <c r="Z34" s="237" t="str">
        <f>IF(BE34 = "", "", IF(OR($H34 = PARÂMETROS!$E$5, $H34 = ""), BE34, IF(OR(BE34 &lt; (1-VLOOKUP($H34,PARÂMETROS!$E:$F,2,FALSE))*$P34, BE34 &gt; (1+VLOOKUP($H34,PARÂMETROS!$E:$F,2,FALSE))*$P34),"",BE34)))</f>
        <v/>
      </c>
      <c r="AA34" s="207">
        <v>32.200000000000003</v>
      </c>
      <c r="AB34" s="208">
        <v>490</v>
      </c>
      <c r="AC34" s="206" t="e">
        <f>IF(AND(OR(AA34="",AA34=0),OR(AA34="",AB34=0)),"",IF(OR(AA34="",AA34=0),"DEFINIR PREÇO",IF(OR(AB34="",AB34=0),"DEFINIR FORNECEDOR",IF(OR(AA34&lt;&gt;"",AA34&lt;&gt;0),VLOOKUP(AB34,#REF!,2,FALSE)))))</f>
        <v>#REF!</v>
      </c>
      <c r="AD34" s="217" t="s">
        <v>1981</v>
      </c>
      <c r="AE34" s="218">
        <v>44946</v>
      </c>
      <c r="AF34" s="220" t="str">
        <f t="shared" ca="1" si="7"/>
        <v>DESATUALIZADA</v>
      </c>
      <c r="AG34" s="229">
        <v>24</v>
      </c>
      <c r="AH34" s="231">
        <v>491</v>
      </c>
      <c r="AI34" s="206" t="e">
        <f>IF(AND(OR(AG34="",AG34=0),OR(AG34="",AH34=0)),"",IF(OR(AG34="",AG34=0),"DEFINIR PREÇO",IF(OR(AH34="",AH34=0),"DEFINIR FORNECEDOR",IF(OR(AG34&lt;&gt;"",AG34&lt;&gt;0),VLOOKUP(AH34,#REF!,2,FALSE)))))</f>
        <v>#REF!</v>
      </c>
      <c r="AJ34" s="217" t="s">
        <v>1981</v>
      </c>
      <c r="AK34" s="218">
        <v>44952</v>
      </c>
      <c r="AL34" s="220" t="str">
        <f t="shared" ca="1" si="8"/>
        <v>DESATUALIZADA</v>
      </c>
      <c r="AM34" s="229"/>
      <c r="AN34" s="231"/>
      <c r="AO34" s="206" t="str">
        <f>IF(AND(OR(AM34="",AM34=0),OR(AM34="",AN34=0)),"",IF(OR(AM34="",AM34=0),"DEFINIR PREÇO",IF(OR(AN34="",AN34=0),"DEFINIR FORNECEDOR",IF(OR(AM34&lt;&gt;"",AM34&lt;&gt;0),VLOOKUP(AN34,#REF!,2,FALSE)))))</f>
        <v/>
      </c>
      <c r="AP34" s="217"/>
      <c r="AQ34" s="218"/>
      <c r="AR34" s="220" t="str">
        <f t="shared" ca="1" si="9"/>
        <v/>
      </c>
      <c r="AS34" s="229"/>
      <c r="AT34" s="231"/>
      <c r="AU34" s="191" t="str">
        <f>IF(AND(OR(AS34="",AS34=0),OR(AS34="",AT34=0)),"",IF(OR(AS34="",AS34=0),"DEFINIR PREÇO",IF(OR(AT34="",AT34=0),"DEFINIR FORNECEDOR",IF(OR(AS34&lt;&gt;"",AS34&lt;&gt;0),VLOOKUP(AT34,#REF!,2,FALSE)))))</f>
        <v/>
      </c>
      <c r="AV34" s="217"/>
      <c r="AW34" s="218"/>
      <c r="AX34" s="220" t="str">
        <f t="shared" ca="1" si="10"/>
        <v/>
      </c>
      <c r="AY34" s="229"/>
      <c r="AZ34" s="234"/>
      <c r="BA34" s="209" t="str">
        <f>IF(AND(OR(AY34="",AY34=0),OR(AY34="",AZ34=0)),"",IF(OR(AY34="",AY34=0),"DEFINIR PREÇO",IF(OR(AZ34="",AZ34=0),"DEFINIR FORNECEDOR",IF(OR(AY34&lt;&gt;"",AY34&lt;&gt;0),VLOOKUP(AZ34,#REF!,2,FALSE)))))</f>
        <v/>
      </c>
      <c r="BB34" s="217"/>
      <c r="BC34" s="218"/>
      <c r="BD34" s="220" t="str">
        <f t="shared" ca="1" si="11"/>
        <v/>
      </c>
      <c r="BE34" s="195"/>
      <c r="BF34" s="196"/>
      <c r="BG34" s="194"/>
      <c r="BH34" s="194"/>
      <c r="BI34" s="194"/>
      <c r="BJ34" s="197"/>
    </row>
    <row r="35" spans="1:62" ht="30" x14ac:dyDescent="0.25">
      <c r="A35" s="44" t="s">
        <v>405</v>
      </c>
      <c r="B35" s="58" t="s">
        <v>409</v>
      </c>
      <c r="C35" s="45">
        <v>4</v>
      </c>
      <c r="D35" s="55" t="s">
        <v>253</v>
      </c>
      <c r="E35" s="45" t="s">
        <v>23</v>
      </c>
      <c r="F35" s="46" t="str">
        <f t="shared" si="15"/>
        <v>DEFINIR CRITÉRIO</v>
      </c>
      <c r="G35" s="47" t="str">
        <f t="shared" si="16"/>
        <v>DEFINIR CRITÉRIO</v>
      </c>
      <c r="H35" s="240" t="s">
        <v>2000</v>
      </c>
      <c r="I35" s="240" t="s">
        <v>2001</v>
      </c>
      <c r="J35" s="242" t="str">
        <f>IFERROR(IF(N35&lt;&gt;"",M35,IF(I35 = PARÂMETROS!$B$5,Q35, IF(I35 = PARÂMETROS!$B$6,R35,IF(I35 = PARÂMETROS!$B$7,S35,IF(I35 = PARÂMETROS!$B$8, T35,"DEFINIR CRITÉRIO"))))),"SEM PREÇO")</f>
        <v>DEFINIR CRITÉRIO</v>
      </c>
      <c r="K35" s="241" t="str">
        <f t="shared" si="0"/>
        <v/>
      </c>
      <c r="L35" s="238" t="str">
        <f t="shared" si="1"/>
        <v/>
      </c>
      <c r="M35" s="51"/>
      <c r="N35" s="52"/>
      <c r="O35" s="53"/>
      <c r="P35" s="235">
        <f t="shared" si="2"/>
        <v>58</v>
      </c>
      <c r="Q35" s="236">
        <f t="shared" si="3"/>
        <v>0</v>
      </c>
      <c r="R35" s="236">
        <f t="shared" si="4"/>
        <v>0</v>
      </c>
      <c r="S35" s="236">
        <f t="shared" si="5"/>
        <v>0</v>
      </c>
      <c r="T35" s="236">
        <f t="shared" si="6"/>
        <v>0</v>
      </c>
      <c r="U35" s="237" t="e">
        <f>IF(AA35 = "", "", IF(OR($H35 = PARÂMETROS!$E$5, $H35 = ""), AA35, IF(OR(AA35 &lt; (1-VLOOKUP($H35,PARÂMETROS!$E:$F,2,FALSE))*$P35, AA35 &gt; (1+VLOOKUP($H35,PARÂMETROS!$E:$F,2,FALSE))*$P35),"",AA35)))</f>
        <v>#N/A</v>
      </c>
      <c r="V35" s="237" t="str">
        <f>IF(AG35 = "", "", IF(OR($H35 = PARÂMETROS!$E$5, $H35 = ""), AG35, IF(OR(AG35 &lt; (1-VLOOKUP($H35,PARÂMETROS!$E:$F,2,FALSE))*$P40, AG35 &gt; (1+VLOOKUP($H35,PARÂMETROS!$E:$F,2,FALSE))*$P35),"",AG35)))</f>
        <v/>
      </c>
      <c r="W35" s="237" t="str">
        <f>IF(AM35 = "", "", IF(OR($H35 = PARÂMETROS!$E$5, $H35 = ""), AM35, IF(OR(AM35 &lt; (1-VLOOKUP($H35,PARÂMETROS!$E:$F,2,FALSE))*$P35, AM35 &gt; (1+VLOOKUP($H35,PARÂMETROS!$E:$F,2,FALSE))*$P35),"",AM35)))</f>
        <v/>
      </c>
      <c r="X35" s="237" t="str">
        <f>IF(AS35 = "", "", IF(OR($H35 = PARÂMETROS!$E$5, $H35 = ""), AS35, IF(OR(AS35 &lt; (1-VLOOKUP($H35,PARÂMETROS!$E:$F,2,FALSE))*$P35, AS35 &gt; (1+VLOOKUP($H35,PARÂMETROS!$E:$F,2,FALSE))*$P35),"",AS35)))</f>
        <v/>
      </c>
      <c r="Y35" s="237" t="str">
        <f>IF(AY35 = "", "", IF(OR($H35 = PARÂMETROS!$E$5, $H35 = ""), AY35, IF(OR(AY35 &lt; (1-VLOOKUP($H35,PARÂMETROS!$E:$F,2,FALSE))*$P35, AY35 &gt; (1+VLOOKUP($H35,PARÂMETROS!$E:$F,2,FALSE))*$P35),"",AY35)))</f>
        <v/>
      </c>
      <c r="Z35" s="237" t="str">
        <f>IF(BE35 = "", "", IF(OR($H35 = PARÂMETROS!$E$5, $H35 = ""), BE35, IF(OR(BE35 &lt; (1-VLOOKUP($H35,PARÂMETROS!$E:$F,2,FALSE))*$P35, BE35 &gt; (1+VLOOKUP($H35,PARÂMETROS!$E:$F,2,FALSE))*$P35),"",BE35)))</f>
        <v/>
      </c>
      <c r="AA35" s="207">
        <v>58</v>
      </c>
      <c r="AB35" s="208">
        <v>491</v>
      </c>
      <c r="AC35" s="206" t="e">
        <f>IF(AND(OR(AA35="",AA35=0),OR(AA35="",AB35=0)),"",IF(OR(AA35="",AA35=0),"DEFINIR PREÇO",IF(OR(AB35="",AB35=0),"DEFINIR FORNECEDOR",IF(OR(AA35&lt;&gt;"",AA35&lt;&gt;0),VLOOKUP(AB35,#REF!,2,FALSE)))))</f>
        <v>#REF!</v>
      </c>
      <c r="AD35" s="217" t="s">
        <v>1981</v>
      </c>
      <c r="AE35" s="218">
        <v>44952</v>
      </c>
      <c r="AF35" s="220" t="str">
        <f t="shared" ca="1" si="7"/>
        <v>DESATUALIZADA</v>
      </c>
      <c r="AG35" s="229"/>
      <c r="AH35" s="231"/>
      <c r="AI35" s="206" t="str">
        <f>IF(AND(OR(AG35="",AG35=0),OR(AG35="",AH35=0)),"",IF(OR(AG35="",AG35=0),"DEFINIR PREÇO",IF(OR(AH35="",AH35=0),"DEFINIR FORNECEDOR",IF(OR(AG35&lt;&gt;"",AG35&lt;&gt;0),VLOOKUP(AH35,#REF!,2,FALSE)))))</f>
        <v/>
      </c>
      <c r="AJ35" s="217"/>
      <c r="AK35" s="218"/>
      <c r="AL35" s="220" t="str">
        <f t="shared" ca="1" si="8"/>
        <v/>
      </c>
      <c r="AM35" s="229"/>
      <c r="AN35" s="231"/>
      <c r="AO35" s="206" t="str">
        <f>IF(AND(OR(AM35="",AM35=0),OR(AM35="",AN35=0)),"",IF(OR(AM35="",AM35=0),"DEFINIR PREÇO",IF(OR(AN35="",AN35=0),"DEFINIR FORNECEDOR",IF(OR(AM35&lt;&gt;"",AM35&lt;&gt;0),VLOOKUP(AN35,#REF!,2,FALSE)))))</f>
        <v/>
      </c>
      <c r="AP35" s="217"/>
      <c r="AQ35" s="218"/>
      <c r="AR35" s="220" t="str">
        <f t="shared" ca="1" si="9"/>
        <v/>
      </c>
      <c r="AS35" s="229"/>
      <c r="AT35" s="231"/>
      <c r="AU35" s="191" t="str">
        <f>IF(AND(OR(AS35="",AS35=0),OR(AS35="",AT35=0)),"",IF(OR(AS35="",AS35=0),"DEFINIR PREÇO",IF(OR(AT35="",AT35=0),"DEFINIR FORNECEDOR",IF(OR(AS35&lt;&gt;"",AS35&lt;&gt;0),VLOOKUP(AT35,#REF!,2,FALSE)))))</f>
        <v/>
      </c>
      <c r="AV35" s="217"/>
      <c r="AW35" s="218"/>
      <c r="AX35" s="220" t="str">
        <f t="shared" ca="1" si="10"/>
        <v/>
      </c>
      <c r="AY35" s="229"/>
      <c r="AZ35" s="234"/>
      <c r="BA35" s="209" t="str">
        <f>IF(AND(OR(AY35="",AY35=0),OR(AY35="",AZ35=0)),"",IF(OR(AY35="",AY35=0),"DEFINIR PREÇO",IF(OR(AZ35="",AZ35=0),"DEFINIR FORNECEDOR",IF(OR(AY35&lt;&gt;"",AY35&lt;&gt;0),VLOOKUP(AZ35,#REF!,2,FALSE)))))</f>
        <v/>
      </c>
      <c r="BB35" s="217"/>
      <c r="BC35" s="218"/>
      <c r="BD35" s="220" t="str">
        <f t="shared" ca="1" si="11"/>
        <v/>
      </c>
      <c r="BE35" s="195"/>
      <c r="BF35" s="196"/>
      <c r="BG35" s="194"/>
      <c r="BH35" s="194"/>
      <c r="BI35" s="194"/>
      <c r="BJ35" s="197"/>
    </row>
    <row r="36" spans="1:62" ht="30" x14ac:dyDescent="0.25">
      <c r="A36" s="44" t="s">
        <v>405</v>
      </c>
      <c r="B36" s="45" t="s">
        <v>136</v>
      </c>
      <c r="C36" s="45">
        <v>4</v>
      </c>
      <c r="D36" s="55" t="s">
        <v>133</v>
      </c>
      <c r="E36" s="45" t="s">
        <v>33</v>
      </c>
      <c r="F36" s="46" t="str">
        <f t="shared" si="15"/>
        <v>DEFINIR CRITÉRIO</v>
      </c>
      <c r="G36" s="47" t="str">
        <f t="shared" si="16"/>
        <v>DEFINIR CRITÉRIO</v>
      </c>
      <c r="H36" s="240" t="s">
        <v>2000</v>
      </c>
      <c r="I36" s="240" t="s">
        <v>2001</v>
      </c>
      <c r="J36" s="242" t="str">
        <f>IFERROR(IF(N36&lt;&gt;"",M36,IF(I36 = PARÂMETROS!$B$5,Q36, IF(I36 = PARÂMETROS!$B$6,R36,IF(I36 = PARÂMETROS!$B$7,S36,IF(I36 = PARÂMETROS!$B$8, T36,"DEFINIR CRITÉRIO"))))),"SEM PREÇO")</f>
        <v>DEFINIR CRITÉRIO</v>
      </c>
      <c r="K36" s="241" t="str">
        <f t="shared" si="0"/>
        <v/>
      </c>
      <c r="L36" s="238" t="str">
        <f t="shared" si="1"/>
        <v/>
      </c>
      <c r="M36" s="51"/>
      <c r="N36" s="52"/>
      <c r="O36" s="53"/>
      <c r="P36" s="235">
        <f t="shared" si="2"/>
        <v>7.4366666666666674</v>
      </c>
      <c r="Q36" s="236">
        <f t="shared" si="3"/>
        <v>0</v>
      </c>
      <c r="R36" s="236">
        <f t="shared" si="4"/>
        <v>0</v>
      </c>
      <c r="S36" s="236">
        <f t="shared" si="5"/>
        <v>0</v>
      </c>
      <c r="T36" s="236">
        <f t="shared" si="6"/>
        <v>0</v>
      </c>
      <c r="U36" s="237" t="e">
        <f>IF(AA36 = "", "", IF(OR($H36 = PARÂMETROS!$E$5, $H36 = ""), AA36, IF(OR(AA36 &lt; (1-VLOOKUP($H36,PARÂMETROS!$E:$F,2,FALSE))*$P36, AA36 &gt; (1+VLOOKUP($H36,PARÂMETROS!$E:$F,2,FALSE))*$P36),"",AA36)))</f>
        <v>#N/A</v>
      </c>
      <c r="V36" s="237" t="e">
        <f>IF(AG36 = "", "", IF(OR($H36 = PARÂMETROS!$E$5, $H36 = ""), AG36, IF(OR(AG36 &lt; (1-VLOOKUP($H36,PARÂMETROS!$E:$F,2,FALSE))*$P41, AG36 &gt; (1+VLOOKUP($H36,PARÂMETROS!$E:$F,2,FALSE))*$P36),"",AG36)))</f>
        <v>#N/A</v>
      </c>
      <c r="W36" s="237" t="e">
        <f>IF(AM36 = "", "", IF(OR($H36 = PARÂMETROS!$E$5, $H36 = ""), AM36, IF(OR(AM36 &lt; (1-VLOOKUP($H36,PARÂMETROS!$E:$F,2,FALSE))*$P36, AM36 &gt; (1+VLOOKUP($H36,PARÂMETROS!$E:$F,2,FALSE))*$P36),"",AM36)))</f>
        <v>#N/A</v>
      </c>
      <c r="X36" s="237" t="str">
        <f>IF(AS36 = "", "", IF(OR($H36 = PARÂMETROS!$E$5, $H36 = ""), AS36, IF(OR(AS36 &lt; (1-VLOOKUP($H36,PARÂMETROS!$E:$F,2,FALSE))*$P36, AS36 &gt; (1+VLOOKUP($H36,PARÂMETROS!$E:$F,2,FALSE))*$P36),"",AS36)))</f>
        <v/>
      </c>
      <c r="Y36" s="237" t="str">
        <f>IF(AY36 = "", "", IF(OR($H36 = PARÂMETROS!$E$5, $H36 = ""), AY36, IF(OR(AY36 &lt; (1-VLOOKUP($H36,PARÂMETROS!$E:$F,2,FALSE))*$P36, AY36 &gt; (1+VLOOKUP($H36,PARÂMETROS!$E:$F,2,FALSE))*$P36),"",AY36)))</f>
        <v/>
      </c>
      <c r="Z36" s="237" t="str">
        <f>IF(BE36 = "", "", IF(OR($H36 = PARÂMETROS!$E$5, $H36 = ""), BE36, IF(OR(BE36 &lt; (1-VLOOKUP($H36,PARÂMETROS!$E:$F,2,FALSE))*$P36, BE36 &gt; (1+VLOOKUP($H36,PARÂMETROS!$E:$F,2,FALSE))*$P36),"",BE36)))</f>
        <v/>
      </c>
      <c r="AA36" s="207">
        <v>7.37</v>
      </c>
      <c r="AB36" s="208">
        <v>2194</v>
      </c>
      <c r="AC36" s="206" t="e">
        <f>IF(AND(OR(AA36="",AA36=0),OR(AA36="",AB36=0)),"",IF(OR(AA36="",AA36=0),"DEFINIR PREÇO",IF(OR(AB36="",AB36=0),"DEFINIR FORNECEDOR",IF(OR(AA36&lt;&gt;"",AA36&lt;&gt;0),VLOOKUP(AB36,#REF!,2,FALSE)))))</f>
        <v>#REF!</v>
      </c>
      <c r="AD36" s="217" t="s">
        <v>1977</v>
      </c>
      <c r="AE36" s="218">
        <v>44932</v>
      </c>
      <c r="AF36" s="220" t="str">
        <f t="shared" ca="1" si="7"/>
        <v>DESATUALIZADA</v>
      </c>
      <c r="AG36" s="229">
        <v>6.61</v>
      </c>
      <c r="AH36" s="231">
        <v>2195</v>
      </c>
      <c r="AI36" s="206" t="e">
        <f>IF(AND(OR(AG36="",AG36=0),OR(AG36="",AH36=0)),"",IF(OR(AG36="",AG36=0),"DEFINIR PREÇO",IF(OR(AH36="",AH36=0),"DEFINIR FORNECEDOR",IF(OR(AG36&lt;&gt;"",AG36&lt;&gt;0),VLOOKUP(AH36,#REF!,2,FALSE)))))</f>
        <v>#REF!</v>
      </c>
      <c r="AJ36" s="217" t="s">
        <v>1977</v>
      </c>
      <c r="AK36" s="218">
        <v>44932</v>
      </c>
      <c r="AL36" s="220" t="str">
        <f t="shared" ca="1" si="8"/>
        <v>DESATUALIZADA</v>
      </c>
      <c r="AM36" s="229">
        <v>8.33</v>
      </c>
      <c r="AN36" s="231">
        <v>1518</v>
      </c>
      <c r="AO36" s="206" t="e">
        <f>IF(AND(OR(AM36="",AM36=0),OR(AM36="",AN36=0)),"",IF(OR(AM36="",AM36=0),"DEFINIR PREÇO",IF(OR(AN36="",AN36=0),"DEFINIR FORNECEDOR",IF(OR(AM36&lt;&gt;"",AM36&lt;&gt;0),VLOOKUP(AN36,#REF!,2,FALSE)))))</f>
        <v>#REF!</v>
      </c>
      <c r="AP36" s="217" t="s">
        <v>1977</v>
      </c>
      <c r="AQ36" s="218">
        <v>44932</v>
      </c>
      <c r="AR36" s="220" t="str">
        <f t="shared" ca="1" si="9"/>
        <v>DESATUALIZADA</v>
      </c>
      <c r="AS36" s="229"/>
      <c r="AT36" s="231"/>
      <c r="AU36" s="191" t="str">
        <f>IF(AND(OR(AS36="",AS36=0),OR(AS36="",AT36=0)),"",IF(OR(AS36="",AS36=0),"DEFINIR PREÇO",IF(OR(AT36="",AT36=0),"DEFINIR FORNECEDOR",IF(OR(AS36&lt;&gt;"",AS36&lt;&gt;0),VLOOKUP(AT36,#REF!,2,FALSE)))))</f>
        <v/>
      </c>
      <c r="AV36" s="217"/>
      <c r="AW36" s="218"/>
      <c r="AX36" s="220" t="str">
        <f t="shared" ca="1" si="10"/>
        <v/>
      </c>
      <c r="AY36" s="229"/>
      <c r="AZ36" s="234"/>
      <c r="BA36" s="209" t="str">
        <f>IF(AND(OR(AY36="",AY36=0),OR(AY36="",AZ36=0)),"",IF(OR(AY36="",AY36=0),"DEFINIR PREÇO",IF(OR(AZ36="",AZ36=0),"DEFINIR FORNECEDOR",IF(OR(AY36&lt;&gt;"",AY36&lt;&gt;0),VLOOKUP(AZ36,#REF!,2,FALSE)))))</f>
        <v/>
      </c>
      <c r="BB36" s="217"/>
      <c r="BC36" s="218"/>
      <c r="BD36" s="220" t="str">
        <f t="shared" ca="1" si="11"/>
        <v/>
      </c>
      <c r="BE36" s="195"/>
      <c r="BF36" s="196"/>
      <c r="BG36" s="191"/>
      <c r="BH36" s="192"/>
      <c r="BI36" s="192"/>
      <c r="BJ36" s="193"/>
    </row>
    <row r="37" spans="1:62" ht="30" x14ac:dyDescent="0.25">
      <c r="A37" s="44" t="s">
        <v>405</v>
      </c>
      <c r="B37" s="45" t="s">
        <v>247</v>
      </c>
      <c r="C37" s="45">
        <v>4</v>
      </c>
      <c r="D37" s="55" t="s">
        <v>241</v>
      </c>
      <c r="E37" s="45" t="s">
        <v>33</v>
      </c>
      <c r="F37" s="46" t="str">
        <f t="shared" ref="F37:F40" si="17">J37</f>
        <v>DEFINIR CRITÉRIO</v>
      </c>
      <c r="G37" s="47" t="str">
        <f t="shared" ref="G37:G40" si="18">J37</f>
        <v>DEFINIR CRITÉRIO</v>
      </c>
      <c r="H37" s="240" t="s">
        <v>2000</v>
      </c>
      <c r="I37" s="240" t="s">
        <v>2001</v>
      </c>
      <c r="J37" s="242" t="str">
        <f>IFERROR(IF(N37&lt;&gt;"",M37,IF(I37 = PARÂMETROS!$B$5,Q37, IF(I37 = PARÂMETROS!$B$6,R37,IF(I37 = PARÂMETROS!$B$7,S37,IF(I37 = PARÂMETROS!$B$8, T37,"DEFINIR CRITÉRIO"))))),"SEM PREÇO")</f>
        <v>DEFINIR CRITÉRIO</v>
      </c>
      <c r="K37" s="241" t="str">
        <f t="shared" si="0"/>
        <v/>
      </c>
      <c r="L37" s="238" t="str">
        <f t="shared" si="1"/>
        <v/>
      </c>
      <c r="M37" s="51"/>
      <c r="N37" s="52"/>
      <c r="O37" s="53"/>
      <c r="P37" s="235">
        <f t="shared" si="2"/>
        <v>6.47</v>
      </c>
      <c r="Q37" s="236">
        <f t="shared" si="3"/>
        <v>0</v>
      </c>
      <c r="R37" s="236">
        <f t="shared" si="4"/>
        <v>0</v>
      </c>
      <c r="S37" s="236">
        <f t="shared" si="5"/>
        <v>0</v>
      </c>
      <c r="T37" s="236">
        <f t="shared" si="6"/>
        <v>0</v>
      </c>
      <c r="U37" s="237" t="e">
        <f>IF(AA37 = "", "", IF(OR($H37 = PARÂMETROS!$E$5, $H37 = ""), AA37, IF(OR(AA37 &lt; (1-VLOOKUP($H37,PARÂMETROS!$E:$F,2,FALSE))*$P37, AA37 &gt; (1+VLOOKUP($H37,PARÂMETROS!$E:$F,2,FALSE))*$P37),"",AA37)))</f>
        <v>#N/A</v>
      </c>
      <c r="V37" s="237" t="e">
        <f>IF(AG37 = "", "", IF(OR($H37 = PARÂMETROS!$E$5, $H37 = ""), AG37, IF(OR(AG37 &lt; (1-VLOOKUP($H37,PARÂMETROS!$E:$F,2,FALSE))*$P42, AG37 &gt; (1+VLOOKUP($H37,PARÂMETROS!$E:$F,2,FALSE))*$P37),"",AG37)))</f>
        <v>#N/A</v>
      </c>
      <c r="W37" s="237" t="e">
        <f>IF(AM37 = "", "", IF(OR($H37 = PARÂMETROS!$E$5, $H37 = ""), AM37, IF(OR(AM37 &lt; (1-VLOOKUP($H37,PARÂMETROS!$E:$F,2,FALSE))*$P37, AM37 &gt; (1+VLOOKUP($H37,PARÂMETROS!$E:$F,2,FALSE))*$P37),"",AM37)))</f>
        <v>#N/A</v>
      </c>
      <c r="X37" s="237" t="str">
        <f>IF(AS37 = "", "", IF(OR($H37 = PARÂMETROS!$E$5, $H37 = ""), AS37, IF(OR(AS37 &lt; (1-VLOOKUP($H37,PARÂMETROS!$E:$F,2,FALSE))*$P37, AS37 &gt; (1+VLOOKUP($H37,PARÂMETROS!$E:$F,2,FALSE))*$P37),"",AS37)))</f>
        <v/>
      </c>
      <c r="Y37" s="237" t="str">
        <f>IF(AY37 = "", "", IF(OR($H37 = PARÂMETROS!$E$5, $H37 = ""), AY37, IF(OR(AY37 &lt; (1-VLOOKUP($H37,PARÂMETROS!$E:$F,2,FALSE))*$P37, AY37 &gt; (1+VLOOKUP($H37,PARÂMETROS!$E:$F,2,FALSE))*$P37),"",AY37)))</f>
        <v/>
      </c>
      <c r="Z37" s="237" t="str">
        <f>IF(BE37 = "", "", IF(OR($H37 = PARÂMETROS!$E$5, $H37 = ""), BE37, IF(OR(BE37 &lt; (1-VLOOKUP($H37,PARÂMETROS!$E:$F,2,FALSE))*$P37, BE37 &gt; (1+VLOOKUP($H37,PARÂMETROS!$E:$F,2,FALSE))*$P37),"",BE37)))</f>
        <v/>
      </c>
      <c r="AA37" s="207">
        <v>5.0999999999999996</v>
      </c>
      <c r="AB37" s="208">
        <v>1839</v>
      </c>
      <c r="AC37" s="206" t="e">
        <f>IF(AND(OR(AA37="",AA37=0),OR(AA37="",AB37=0)),"",IF(OR(AA37="",AA37=0),"DEFINIR PREÇO",IF(OR(AB37="",AB37=0),"DEFINIR FORNECEDOR",IF(OR(AA37&lt;&gt;"",AA37&lt;&gt;0),VLOOKUP(AB37,#REF!,2,FALSE)))))</f>
        <v>#REF!</v>
      </c>
      <c r="AD37" s="217" t="s">
        <v>1977</v>
      </c>
      <c r="AE37" s="218">
        <v>44932</v>
      </c>
      <c r="AF37" s="220" t="str">
        <f t="shared" ca="1" si="7"/>
        <v>DESATUALIZADA</v>
      </c>
      <c r="AG37" s="229">
        <v>7.73</v>
      </c>
      <c r="AH37" s="231">
        <v>653</v>
      </c>
      <c r="AI37" s="206" t="e">
        <f>IF(AND(OR(AG37="",AG37=0),OR(AG37="",AH37=0)),"",IF(OR(AG37="",AG37=0),"DEFINIR PREÇO",IF(OR(AH37="",AH37=0),"DEFINIR FORNECEDOR",IF(OR(AG37&lt;&gt;"",AG37&lt;&gt;0),VLOOKUP(AH37,#REF!,2,FALSE)))))</f>
        <v>#REF!</v>
      </c>
      <c r="AJ37" s="217" t="s">
        <v>1977</v>
      </c>
      <c r="AK37" s="218">
        <v>44932</v>
      </c>
      <c r="AL37" s="220" t="str">
        <f t="shared" ca="1" si="8"/>
        <v>DESATUALIZADA</v>
      </c>
      <c r="AM37" s="229">
        <v>6.58</v>
      </c>
      <c r="AN37" s="231">
        <v>732</v>
      </c>
      <c r="AO37" s="206" t="e">
        <f>IF(AND(OR(AM37="",AM37=0),OR(AM37="",AN37=0)),"",IF(OR(AM37="",AM37=0),"DEFINIR PREÇO",IF(OR(AN37="",AN37=0),"DEFINIR FORNECEDOR",IF(OR(AM37&lt;&gt;"",AM37&lt;&gt;0),VLOOKUP(AN37,#REF!,2,FALSE)))))</f>
        <v>#REF!</v>
      </c>
      <c r="AP37" s="217" t="s">
        <v>1977</v>
      </c>
      <c r="AQ37" s="218">
        <v>44932</v>
      </c>
      <c r="AR37" s="220" t="str">
        <f t="shared" ca="1" si="9"/>
        <v>DESATUALIZADA</v>
      </c>
      <c r="AS37" s="229"/>
      <c r="AT37" s="231"/>
      <c r="AU37" s="191" t="str">
        <f>IF(AND(OR(AS37="",AS37=0),OR(AS37="",AT37=0)),"",IF(OR(AS37="",AS37=0),"DEFINIR PREÇO",IF(OR(AT37="",AT37=0),"DEFINIR FORNECEDOR",IF(OR(AS37&lt;&gt;"",AS37&lt;&gt;0),VLOOKUP(AT37,#REF!,2,FALSE)))))</f>
        <v/>
      </c>
      <c r="AV37" s="217"/>
      <c r="AW37" s="218"/>
      <c r="AX37" s="220" t="str">
        <f t="shared" ca="1" si="10"/>
        <v/>
      </c>
      <c r="AY37" s="229"/>
      <c r="AZ37" s="234"/>
      <c r="BA37" s="209" t="str">
        <f>IF(AND(OR(AY37="",AY37=0),OR(AY37="",AZ37=0)),"",IF(OR(AY37="",AY37=0),"DEFINIR PREÇO",IF(OR(AZ37="",AZ37=0),"DEFINIR FORNECEDOR",IF(OR(AY37&lt;&gt;"",AY37&lt;&gt;0),VLOOKUP(AZ37,#REF!,2,FALSE)))))</f>
        <v/>
      </c>
      <c r="BB37" s="217"/>
      <c r="BC37" s="218"/>
      <c r="BD37" s="220" t="str">
        <f t="shared" ca="1" si="11"/>
        <v/>
      </c>
      <c r="BE37" s="195"/>
      <c r="BF37" s="196"/>
      <c r="BG37" s="194"/>
      <c r="BH37" s="192"/>
      <c r="BI37" s="192"/>
      <c r="BJ37" s="193"/>
    </row>
    <row r="38" spans="1:62" ht="30" x14ac:dyDescent="0.25">
      <c r="A38" s="44" t="s">
        <v>405</v>
      </c>
      <c r="B38" s="45" t="s">
        <v>140</v>
      </c>
      <c r="C38" s="45">
        <v>4</v>
      </c>
      <c r="D38" s="55" t="s">
        <v>135</v>
      </c>
      <c r="E38" s="45" t="s">
        <v>23</v>
      </c>
      <c r="F38" s="46" t="str">
        <f t="shared" si="17"/>
        <v>DEFINIR CRITÉRIO</v>
      </c>
      <c r="G38" s="47" t="str">
        <f t="shared" si="18"/>
        <v>DEFINIR CRITÉRIO</v>
      </c>
      <c r="H38" s="240" t="s">
        <v>2000</v>
      </c>
      <c r="I38" s="240" t="s">
        <v>2001</v>
      </c>
      <c r="J38" s="242" t="str">
        <f>IFERROR(IF(N38&lt;&gt;"",M38,IF(I38 = PARÂMETROS!$B$5,Q38, IF(I38 = PARÂMETROS!$B$6,R38,IF(I38 = PARÂMETROS!$B$7,S38,IF(I38 = PARÂMETROS!$B$8, T38,"DEFINIR CRITÉRIO"))))),"SEM PREÇO")</f>
        <v>DEFINIR CRITÉRIO</v>
      </c>
      <c r="K38" s="241" t="str">
        <f t="shared" si="0"/>
        <v/>
      </c>
      <c r="L38" s="238" t="str">
        <f t="shared" si="1"/>
        <v/>
      </c>
      <c r="M38" s="51"/>
      <c r="N38" s="52"/>
      <c r="O38" s="53"/>
      <c r="P38" s="235">
        <f t="shared" si="2"/>
        <v>399.23666666666668</v>
      </c>
      <c r="Q38" s="236">
        <f t="shared" si="3"/>
        <v>0</v>
      </c>
      <c r="R38" s="236">
        <f t="shared" si="4"/>
        <v>0</v>
      </c>
      <c r="S38" s="236">
        <f t="shared" si="5"/>
        <v>0</v>
      </c>
      <c r="T38" s="236">
        <f t="shared" si="6"/>
        <v>0</v>
      </c>
      <c r="U38" s="237" t="e">
        <f>IF(AA38 = "", "", IF(OR($H38 = PARÂMETROS!$E$5, $H38 = ""), AA38, IF(OR(AA38 &lt; (1-VLOOKUP($H38,PARÂMETROS!$E:$F,2,FALSE))*$P38, AA38 &gt; (1+VLOOKUP($H38,PARÂMETROS!$E:$F,2,FALSE))*$P38),"",AA38)))</f>
        <v>#N/A</v>
      </c>
      <c r="V38" s="237" t="e">
        <f>IF(AG38 = "", "", IF(OR($H38 = PARÂMETROS!$E$5, $H38 = ""), AG38, IF(OR(AG38 &lt; (1-VLOOKUP($H38,PARÂMETROS!$E:$F,2,FALSE))*$P43, AG38 &gt; (1+VLOOKUP($H38,PARÂMETROS!$E:$F,2,FALSE))*$P38),"",AG38)))</f>
        <v>#N/A</v>
      </c>
      <c r="W38" s="237" t="e">
        <f>IF(AM38 = "", "", IF(OR($H38 = PARÂMETROS!$E$5, $H38 = ""), AM38, IF(OR(AM38 &lt; (1-VLOOKUP($H38,PARÂMETROS!$E:$F,2,FALSE))*$P38, AM38 &gt; (1+VLOOKUP($H38,PARÂMETROS!$E:$F,2,FALSE))*$P38),"",AM38)))</f>
        <v>#N/A</v>
      </c>
      <c r="X38" s="237" t="str">
        <f>IF(AS38 = "", "", IF(OR($H38 = PARÂMETROS!$E$5, $H38 = ""), AS38, IF(OR(AS38 &lt; (1-VLOOKUP($H38,PARÂMETROS!$E:$F,2,FALSE))*$P38, AS38 &gt; (1+VLOOKUP($H38,PARÂMETROS!$E:$F,2,FALSE))*$P38),"",AS38)))</f>
        <v/>
      </c>
      <c r="Y38" s="237" t="str">
        <f>IF(AY38 = "", "", IF(OR($H38 = PARÂMETROS!$E$5, $H38 = ""), AY38, IF(OR(AY38 &lt; (1-VLOOKUP($H38,PARÂMETROS!$E:$F,2,FALSE))*$P38, AY38 &gt; (1+VLOOKUP($H38,PARÂMETROS!$E:$F,2,FALSE))*$P38),"",AY38)))</f>
        <v/>
      </c>
      <c r="Z38" s="237" t="str">
        <f>IF(BE38 = "", "", IF(OR($H38 = PARÂMETROS!$E$5, $H38 = ""), BE38, IF(OR(BE38 &lt; (1-VLOOKUP($H38,PARÂMETROS!$E:$F,2,FALSE))*$P38, BE38 &gt; (1+VLOOKUP($H38,PARÂMETROS!$E:$F,2,FALSE))*$P38),"",BE38)))</f>
        <v/>
      </c>
      <c r="AA38" s="207">
        <v>249</v>
      </c>
      <c r="AB38" s="208">
        <v>264</v>
      </c>
      <c r="AC38" s="206" t="e">
        <f>IF(AND(OR(AA38="",AA38=0),OR(AA38="",AB38=0)),"",IF(OR(AA38="",AA38=0),"DEFINIR PREÇO",IF(OR(AB38="",AB38=0),"DEFINIR FORNECEDOR",IF(OR(AA38&lt;&gt;"",AA38&lt;&gt;0),VLOOKUP(AB38,#REF!,2,FALSE)))))</f>
        <v>#REF!</v>
      </c>
      <c r="AD38" s="217" t="s">
        <v>1977</v>
      </c>
      <c r="AE38" s="218">
        <v>44932</v>
      </c>
      <c r="AF38" s="220" t="str">
        <f t="shared" ca="1" si="7"/>
        <v>DESATUALIZADA</v>
      </c>
      <c r="AG38" s="229">
        <v>569.99</v>
      </c>
      <c r="AH38" s="231">
        <v>660</v>
      </c>
      <c r="AI38" s="206" t="e">
        <f>IF(AND(OR(AG38="",AG38=0),OR(AG38="",AH38=0)),"",IF(OR(AG38="",AG38=0),"DEFINIR PREÇO",IF(OR(AH38="",AH38=0),"DEFINIR FORNECEDOR",IF(OR(AG38&lt;&gt;"",AG38&lt;&gt;0),VLOOKUP(AH38,#REF!,2,FALSE)))))</f>
        <v>#REF!</v>
      </c>
      <c r="AJ38" s="217" t="s">
        <v>1977</v>
      </c>
      <c r="AK38" s="218">
        <v>44932</v>
      </c>
      <c r="AL38" s="220" t="str">
        <f t="shared" ca="1" si="8"/>
        <v>DESATUALIZADA</v>
      </c>
      <c r="AM38" s="229">
        <v>378.72</v>
      </c>
      <c r="AN38" s="231">
        <v>653</v>
      </c>
      <c r="AO38" s="206" t="e">
        <f>IF(AND(OR(AM38="",AM38=0),OR(AM38="",AN38=0)),"",IF(OR(AM38="",AM38=0),"DEFINIR PREÇO",IF(OR(AN38="",AN38=0),"DEFINIR FORNECEDOR",IF(OR(AM38&lt;&gt;"",AM38&lt;&gt;0),VLOOKUP(AN38,#REF!,2,FALSE)))))</f>
        <v>#REF!</v>
      </c>
      <c r="AP38" s="217" t="s">
        <v>1977</v>
      </c>
      <c r="AQ38" s="218">
        <v>44932</v>
      </c>
      <c r="AR38" s="220" t="str">
        <f t="shared" ca="1" si="9"/>
        <v>DESATUALIZADA</v>
      </c>
      <c r="AS38" s="229"/>
      <c r="AT38" s="231"/>
      <c r="AU38" s="191" t="str">
        <f>IF(AND(OR(AS38="",AS38=0),OR(AS38="",AT38=0)),"",IF(OR(AS38="",AS38=0),"DEFINIR PREÇO",IF(OR(AT38="",AT38=0),"DEFINIR FORNECEDOR",IF(OR(AS38&lt;&gt;"",AS38&lt;&gt;0),VLOOKUP(AT38,#REF!,2,FALSE)))))</f>
        <v/>
      </c>
      <c r="AV38" s="217"/>
      <c r="AW38" s="218"/>
      <c r="AX38" s="220" t="str">
        <f t="shared" ca="1" si="10"/>
        <v/>
      </c>
      <c r="AY38" s="229"/>
      <c r="AZ38" s="234"/>
      <c r="BA38" s="209" t="str">
        <f>IF(AND(OR(AY38="",AY38=0),OR(AY38="",AZ38=0)),"",IF(OR(AY38="",AY38=0),"DEFINIR PREÇO",IF(OR(AZ38="",AZ38=0),"DEFINIR FORNECEDOR",IF(OR(AY38&lt;&gt;"",AY38&lt;&gt;0),VLOOKUP(AZ38,#REF!,2,FALSE)))))</f>
        <v/>
      </c>
      <c r="BB38" s="217"/>
      <c r="BC38" s="218"/>
      <c r="BD38" s="220" t="str">
        <f t="shared" ca="1" si="11"/>
        <v/>
      </c>
      <c r="BE38" s="195"/>
      <c r="BF38" s="196"/>
      <c r="BG38" s="194"/>
      <c r="BH38" s="192"/>
      <c r="BI38" s="192"/>
      <c r="BJ38" s="193"/>
    </row>
    <row r="39" spans="1:62" ht="30" x14ac:dyDescent="0.25">
      <c r="A39" s="44" t="s">
        <v>405</v>
      </c>
      <c r="B39" s="45" t="s">
        <v>412</v>
      </c>
      <c r="C39" s="45">
        <v>4</v>
      </c>
      <c r="D39" s="55" t="s">
        <v>134</v>
      </c>
      <c r="E39" s="45" t="s">
        <v>23</v>
      </c>
      <c r="F39" s="46" t="str">
        <f t="shared" si="17"/>
        <v>DEFINIR CRITÉRIO</v>
      </c>
      <c r="G39" s="47" t="str">
        <f t="shared" si="18"/>
        <v>DEFINIR CRITÉRIO</v>
      </c>
      <c r="H39" s="240" t="s">
        <v>2000</v>
      </c>
      <c r="I39" s="240" t="s">
        <v>2001</v>
      </c>
      <c r="J39" s="242" t="str">
        <f>IFERROR(IF(N39&lt;&gt;"",M39,IF(I39 = PARÂMETROS!$B$5,Q39, IF(I39 = PARÂMETROS!$B$6,R39,IF(I39 = PARÂMETROS!$B$7,S39,IF(I39 = PARÂMETROS!$B$8, T39,"DEFINIR CRITÉRIO"))))),"SEM PREÇO")</f>
        <v>DEFINIR CRITÉRIO</v>
      </c>
      <c r="K39" s="241" t="str">
        <f t="shared" si="0"/>
        <v/>
      </c>
      <c r="L39" s="238" t="str">
        <f t="shared" si="1"/>
        <v/>
      </c>
      <c r="M39" s="51"/>
      <c r="N39" s="52"/>
      <c r="O39" s="53"/>
      <c r="P39" s="235">
        <f t="shared" si="2"/>
        <v>432.33</v>
      </c>
      <c r="Q39" s="236">
        <f t="shared" si="3"/>
        <v>0</v>
      </c>
      <c r="R39" s="236">
        <f t="shared" si="4"/>
        <v>0</v>
      </c>
      <c r="S39" s="236">
        <f t="shared" si="5"/>
        <v>0</v>
      </c>
      <c r="T39" s="236">
        <f t="shared" si="6"/>
        <v>0</v>
      </c>
      <c r="U39" s="237" t="e">
        <f>IF(AA39 = "", "", IF(OR($H39 = PARÂMETROS!$E$5, $H39 = ""), AA39, IF(OR(AA39 &lt; (1-VLOOKUP($H39,PARÂMETROS!$E:$F,2,FALSE))*$P39, AA39 &gt; (1+VLOOKUP($H39,PARÂMETROS!$E:$F,2,FALSE))*$P39),"",AA39)))</f>
        <v>#N/A</v>
      </c>
      <c r="V39" s="237" t="e">
        <f>IF(AG39 = "", "", IF(OR($H39 = PARÂMETROS!$E$5, $H39 = ""), AG39, IF(OR(AG39 &lt; (1-VLOOKUP($H39,PARÂMETROS!$E:$F,2,FALSE))*$P44, AG39 &gt; (1+VLOOKUP($H39,PARÂMETROS!$E:$F,2,FALSE))*$P39),"",AG39)))</f>
        <v>#N/A</v>
      </c>
      <c r="W39" s="237" t="e">
        <f>IF(AM39 = "", "", IF(OR($H39 = PARÂMETROS!$E$5, $H39 = ""), AM39, IF(OR(AM39 &lt; (1-VLOOKUP($H39,PARÂMETROS!$E:$F,2,FALSE))*$P39, AM39 &gt; (1+VLOOKUP($H39,PARÂMETROS!$E:$F,2,FALSE))*$P39),"",AM39)))</f>
        <v>#N/A</v>
      </c>
      <c r="X39" s="237" t="str">
        <f>IF(AS39 = "", "", IF(OR($H39 = PARÂMETROS!$E$5, $H39 = ""), AS39, IF(OR(AS39 &lt; (1-VLOOKUP($H39,PARÂMETROS!$E:$F,2,FALSE))*$P39, AS39 &gt; (1+VLOOKUP($H39,PARÂMETROS!$E:$F,2,FALSE))*$P39),"",AS39)))</f>
        <v/>
      </c>
      <c r="Y39" s="237" t="str">
        <f>IF(AY39 = "", "", IF(OR($H39 = PARÂMETROS!$E$5, $H39 = ""), AY39, IF(OR(AY39 &lt; (1-VLOOKUP($H39,PARÂMETROS!$E:$F,2,FALSE))*$P39, AY39 &gt; (1+VLOOKUP($H39,PARÂMETROS!$E:$F,2,FALSE))*$P39),"",AY39)))</f>
        <v/>
      </c>
      <c r="Z39" s="237" t="str">
        <f>IF(BE39 = "", "", IF(OR($H39 = PARÂMETROS!$E$5, $H39 = ""), BE39, IF(OR(BE39 &lt; (1-VLOOKUP($H39,PARÂMETROS!$E:$F,2,FALSE))*$P39, BE39 &gt; (1+VLOOKUP($H39,PARÂMETROS!$E:$F,2,FALSE))*$P39),"",BE39)))</f>
        <v/>
      </c>
      <c r="AA39" s="207">
        <v>219</v>
      </c>
      <c r="AB39" s="208">
        <v>264</v>
      </c>
      <c r="AC39" s="206" t="e">
        <f>IF(AND(OR(AA39="",AA39=0),OR(AA39="",AB39=0)),"",IF(OR(AA39="",AA39=0),"DEFINIR PREÇO",IF(OR(AB39="",AB39=0),"DEFINIR FORNECEDOR",IF(OR(AA39&lt;&gt;"",AA39&lt;&gt;0),VLOOKUP(AB39,#REF!,2,FALSE)))))</f>
        <v>#REF!</v>
      </c>
      <c r="AD39" s="217" t="s">
        <v>1977</v>
      </c>
      <c r="AE39" s="218">
        <v>44932</v>
      </c>
      <c r="AF39" s="220" t="str">
        <f t="shared" ca="1" si="7"/>
        <v>DESATUALIZADA</v>
      </c>
      <c r="AG39" s="229">
        <v>509.99</v>
      </c>
      <c r="AH39" s="231">
        <v>660</v>
      </c>
      <c r="AI39" s="206" t="e">
        <f>IF(AND(OR(AG39="",AG39=0),OR(AG39="",AH39=0)),"",IF(OR(AG39="",AG39=0),"DEFINIR PREÇO",IF(OR(AH39="",AH39=0),"DEFINIR FORNECEDOR",IF(OR(AG39&lt;&gt;"",AG39&lt;&gt;0),VLOOKUP(AH39,#REF!,2,FALSE)))))</f>
        <v>#REF!</v>
      </c>
      <c r="AJ39" s="217" t="s">
        <v>1977</v>
      </c>
      <c r="AK39" s="218">
        <v>44932</v>
      </c>
      <c r="AL39" s="220" t="str">
        <f t="shared" ca="1" si="8"/>
        <v>DESATUALIZADA</v>
      </c>
      <c r="AM39" s="229">
        <v>568</v>
      </c>
      <c r="AN39" s="231">
        <v>653</v>
      </c>
      <c r="AO39" s="206" t="e">
        <f>IF(AND(OR(AM39="",AM39=0),OR(AM39="",AN39=0)),"",IF(OR(AM39="",AM39=0),"DEFINIR PREÇO",IF(OR(AN39="",AN39=0),"DEFINIR FORNECEDOR",IF(OR(AM39&lt;&gt;"",AM39&lt;&gt;0),VLOOKUP(AN39,#REF!,2,FALSE)))))</f>
        <v>#REF!</v>
      </c>
      <c r="AP39" s="217" t="s">
        <v>1977</v>
      </c>
      <c r="AQ39" s="218">
        <v>44932</v>
      </c>
      <c r="AR39" s="220" t="str">
        <f t="shared" ca="1" si="9"/>
        <v>DESATUALIZADA</v>
      </c>
      <c r="AS39" s="229"/>
      <c r="AT39" s="231"/>
      <c r="AU39" s="191" t="str">
        <f>IF(AND(OR(AS39="",AS39=0),OR(AS39="",AT39=0)),"",IF(OR(AS39="",AS39=0),"DEFINIR PREÇO",IF(OR(AT39="",AT39=0),"DEFINIR FORNECEDOR",IF(OR(AS39&lt;&gt;"",AS39&lt;&gt;0),VLOOKUP(AT39,#REF!,2,FALSE)))))</f>
        <v/>
      </c>
      <c r="AV39" s="217"/>
      <c r="AW39" s="218"/>
      <c r="AX39" s="220" t="str">
        <f t="shared" ca="1" si="10"/>
        <v/>
      </c>
      <c r="AY39" s="229"/>
      <c r="AZ39" s="234"/>
      <c r="BA39" s="209" t="str">
        <f>IF(AND(OR(AY39="",AY39=0),OR(AY39="",AZ39=0)),"",IF(OR(AY39="",AY39=0),"DEFINIR PREÇO",IF(OR(AZ39="",AZ39=0),"DEFINIR FORNECEDOR",IF(OR(AY39&lt;&gt;"",AY39&lt;&gt;0),VLOOKUP(AZ39,#REF!,2,FALSE)))))</f>
        <v/>
      </c>
      <c r="BB39" s="217"/>
      <c r="BC39" s="218"/>
      <c r="BD39" s="220" t="str">
        <f t="shared" ca="1" si="11"/>
        <v/>
      </c>
      <c r="BE39" s="195"/>
      <c r="BF39" s="196"/>
      <c r="BG39" s="194"/>
      <c r="BH39" s="192"/>
      <c r="BI39" s="192"/>
      <c r="BJ39" s="193"/>
    </row>
    <row r="40" spans="1:62" ht="30" x14ac:dyDescent="0.25">
      <c r="A40" s="44" t="s">
        <v>405</v>
      </c>
      <c r="B40" s="45" t="s">
        <v>421</v>
      </c>
      <c r="C40" s="45">
        <v>4</v>
      </c>
      <c r="D40" s="55" t="s">
        <v>132</v>
      </c>
      <c r="E40" s="45" t="s">
        <v>31</v>
      </c>
      <c r="F40" s="46" t="str">
        <f t="shared" si="17"/>
        <v>DEFINIR CRITÉRIO</v>
      </c>
      <c r="G40" s="47" t="str">
        <f t="shared" si="18"/>
        <v>DEFINIR CRITÉRIO</v>
      </c>
      <c r="H40" s="240" t="s">
        <v>2000</v>
      </c>
      <c r="I40" s="240" t="s">
        <v>2001</v>
      </c>
      <c r="J40" s="242" t="str">
        <f>IFERROR(IF(N40&lt;&gt;"",M40,IF(I40 = PARÂMETROS!$B$5,Q40, IF(I40 = PARÂMETROS!$B$6,R40,IF(I40 = PARÂMETROS!$B$7,S40,IF(I40 = PARÂMETROS!$B$8, T40,"DEFINIR CRITÉRIO"))))),"SEM PREÇO")</f>
        <v>DEFINIR CRITÉRIO</v>
      </c>
      <c r="K40" s="241" t="str">
        <f t="shared" si="0"/>
        <v/>
      </c>
      <c r="L40" s="238" t="str">
        <f t="shared" si="1"/>
        <v/>
      </c>
      <c r="M40" s="51"/>
      <c r="N40" s="52"/>
      <c r="O40" s="53"/>
      <c r="P40" s="235">
        <f t="shared" si="2"/>
        <v>10.220000000000001</v>
      </c>
      <c r="Q40" s="236">
        <f t="shared" si="3"/>
        <v>0</v>
      </c>
      <c r="R40" s="236">
        <f t="shared" si="4"/>
        <v>0</v>
      </c>
      <c r="S40" s="236">
        <f t="shared" si="5"/>
        <v>0</v>
      </c>
      <c r="T40" s="236">
        <f t="shared" si="6"/>
        <v>0</v>
      </c>
      <c r="U40" s="237" t="e">
        <f>IF(AA40 = "", "", IF(OR($H40 = PARÂMETROS!$E$5, $H40 = ""), AA40, IF(OR(AA40 &lt; (1-VLOOKUP($H40,PARÂMETROS!$E:$F,2,FALSE))*$P40, AA40 &gt; (1+VLOOKUP($H40,PARÂMETROS!$E:$F,2,FALSE))*$P40),"",AA40)))</f>
        <v>#N/A</v>
      </c>
      <c r="V40" s="237" t="e">
        <f>IF(AG40 = "", "", IF(OR($H40 = PARÂMETROS!$E$5, $H40 = ""), AG40, IF(OR(AG40 &lt; (1-VLOOKUP($H40,PARÂMETROS!$E:$F,2,FALSE))*$P46, AG40 &gt; (1+VLOOKUP($H40,PARÂMETROS!$E:$F,2,FALSE))*$P40),"",AG40)))</f>
        <v>#N/A</v>
      </c>
      <c r="W40" s="237" t="e">
        <f>IF(AM40 = "", "", IF(OR($H40 = PARÂMETROS!$E$5, $H40 = ""), AM40, IF(OR(AM40 &lt; (1-VLOOKUP($H40,PARÂMETROS!$E:$F,2,FALSE))*$P40, AM40 &gt; (1+VLOOKUP($H40,PARÂMETROS!$E:$F,2,FALSE))*$P40),"",AM40)))</f>
        <v>#N/A</v>
      </c>
      <c r="X40" s="237" t="str">
        <f>IF(AS40 = "", "", IF(OR($H40 = PARÂMETROS!$E$5, $H40 = ""), AS40, IF(OR(AS40 &lt; (1-VLOOKUP($H40,PARÂMETROS!$E:$F,2,FALSE))*$P40, AS40 &gt; (1+VLOOKUP($H40,PARÂMETROS!$E:$F,2,FALSE))*$P40),"",AS40)))</f>
        <v/>
      </c>
      <c r="Y40" s="237" t="str">
        <f>IF(AY40 = "", "", IF(OR($H40 = PARÂMETROS!$E$5, $H40 = ""), AY40, IF(OR(AY40 &lt; (1-VLOOKUP($H40,PARÂMETROS!$E:$F,2,FALSE))*$P40, AY40 &gt; (1+VLOOKUP($H40,PARÂMETROS!$E:$F,2,FALSE))*$P40),"",AY40)))</f>
        <v/>
      </c>
      <c r="Z40" s="237" t="str">
        <f>IF(BE40 = "", "", IF(OR($H40 = PARÂMETROS!$E$5, $H40 = ""), BE40, IF(OR(BE40 &lt; (1-VLOOKUP($H40,PARÂMETROS!$E:$F,2,FALSE))*$P40, BE40 &gt; (1+VLOOKUP($H40,PARÂMETROS!$E:$F,2,FALSE))*$P40),"",BE40)))</f>
        <v/>
      </c>
      <c r="AA40" s="207">
        <v>10.56</v>
      </c>
      <c r="AB40" s="208">
        <v>264</v>
      </c>
      <c r="AC40" s="206" t="e">
        <f>IF(AND(OR(AA40="",AA40=0),OR(AA40="",AB40=0)),"",IF(OR(AA40="",AA40=0),"DEFINIR PREÇO",IF(OR(AB40="",AB40=0),"DEFINIR FORNECEDOR",IF(OR(AA40&lt;&gt;"",AA40&lt;&gt;0),VLOOKUP(AB40,#REF!,2,FALSE)))))</f>
        <v>#REF!</v>
      </c>
      <c r="AD40" s="217" t="s">
        <v>1977</v>
      </c>
      <c r="AE40" s="218">
        <v>44932</v>
      </c>
      <c r="AF40" s="220" t="str">
        <f t="shared" ca="1" si="7"/>
        <v>DESATUALIZADA</v>
      </c>
      <c r="AG40" s="229">
        <v>7.94</v>
      </c>
      <c r="AH40" s="231">
        <v>660</v>
      </c>
      <c r="AI40" s="206" t="e">
        <f>IF(AND(OR(AG40="",AG40=0),OR(AG40="",AH40=0)),"",IF(OR(AG40="",AG40=0),"DEFINIR PREÇO",IF(OR(AH40="",AH40=0),"DEFINIR FORNECEDOR",IF(OR(AG40&lt;&gt;"",AG40&lt;&gt;0),VLOOKUP(AH40,#REF!,2,FALSE)))))</f>
        <v>#REF!</v>
      </c>
      <c r="AJ40" s="217" t="s">
        <v>1977</v>
      </c>
      <c r="AK40" s="218">
        <v>44932</v>
      </c>
      <c r="AL40" s="220" t="str">
        <f t="shared" ca="1" si="8"/>
        <v>DESATUALIZADA</v>
      </c>
      <c r="AM40" s="229">
        <v>12.16</v>
      </c>
      <c r="AN40" s="231">
        <v>653</v>
      </c>
      <c r="AO40" s="206" t="e">
        <f>IF(AND(OR(AM40="",AM40=0),OR(AM40="",AN40=0)),"",IF(OR(AM40="",AM40=0),"DEFINIR PREÇO",IF(OR(AN40="",AN40=0),"DEFINIR FORNECEDOR",IF(OR(AM40&lt;&gt;"",AM40&lt;&gt;0),VLOOKUP(AN40,#REF!,2,FALSE)))))</f>
        <v>#REF!</v>
      </c>
      <c r="AP40" s="217" t="s">
        <v>1977</v>
      </c>
      <c r="AQ40" s="218">
        <v>44932</v>
      </c>
      <c r="AR40" s="220" t="str">
        <f t="shared" ca="1" si="9"/>
        <v>DESATUALIZADA</v>
      </c>
      <c r="AS40" s="229"/>
      <c r="AT40" s="231"/>
      <c r="AU40" s="191" t="str">
        <f>IF(AND(OR(AS40="",AS40=0),OR(AS40="",AT40=0)),"",IF(OR(AS40="",AS40=0),"DEFINIR PREÇO",IF(OR(AT40="",AT40=0),"DEFINIR FORNECEDOR",IF(OR(AS40&lt;&gt;"",AS40&lt;&gt;0),VLOOKUP(AT40,#REF!,2,FALSE)))))</f>
        <v/>
      </c>
      <c r="AV40" s="217"/>
      <c r="AW40" s="218"/>
      <c r="AX40" s="220" t="str">
        <f t="shared" ca="1" si="10"/>
        <v/>
      </c>
      <c r="AY40" s="229"/>
      <c r="AZ40" s="234"/>
      <c r="BA40" s="209" t="str">
        <f>IF(AND(OR(AY40="",AY40=0),OR(AY40="",AZ40=0)),"",IF(OR(AY40="",AY40=0),"DEFINIR PREÇO",IF(OR(AZ40="",AZ40=0),"DEFINIR FORNECEDOR",IF(OR(AY40&lt;&gt;"",AY40&lt;&gt;0),VLOOKUP(AZ40,#REF!,2,FALSE)))))</f>
        <v/>
      </c>
      <c r="BB40" s="217"/>
      <c r="BC40" s="218"/>
      <c r="BD40" s="220" t="str">
        <f t="shared" ca="1" si="11"/>
        <v/>
      </c>
      <c r="BE40" s="195"/>
      <c r="BF40" s="196"/>
      <c r="BG40" s="194"/>
      <c r="BH40" s="192"/>
      <c r="BI40" s="192"/>
      <c r="BJ40" s="193"/>
    </row>
    <row r="41" spans="1:62" ht="27" customHeight="1" x14ac:dyDescent="0.25">
      <c r="A41" s="44" t="s">
        <v>405</v>
      </c>
      <c r="B41" s="58" t="s">
        <v>114</v>
      </c>
      <c r="C41" s="45">
        <v>4</v>
      </c>
      <c r="D41" s="245" t="s">
        <v>102</v>
      </c>
      <c r="E41" s="157" t="s">
        <v>31</v>
      </c>
      <c r="F41" s="46" t="e">
        <f>VLOOKUP(B41,#REF!,6,FALSE)</f>
        <v>#REF!</v>
      </c>
      <c r="G41" s="47" t="e">
        <f>VLOOKUP(B41,#REF!,6,FALSE)</f>
        <v>#REF!</v>
      </c>
      <c r="H41" s="240" t="s">
        <v>2000</v>
      </c>
      <c r="I41" s="240" t="s">
        <v>2001</v>
      </c>
      <c r="J41" s="242" t="str">
        <f>IFERROR(IF(N41&lt;&gt;"",M41,IF(I41 = PARÂMETROS!$B$5,Q41, IF(I41 = PARÂMETROS!$B$6,R41,IF(I41 = PARÂMETROS!$B$7,S41,IF(I41 = PARÂMETROS!$B$8, T41,"DEFINIR CRITÉRIO"))))),"SEM PREÇO")</f>
        <v>SEM PREÇO</v>
      </c>
      <c r="K41" s="241">
        <f t="shared" si="0"/>
        <v>0</v>
      </c>
      <c r="L41" s="238" t="str">
        <f t="shared" si="1"/>
        <v/>
      </c>
      <c r="M41" s="180" t="e">
        <f>F41</f>
        <v>#REF!</v>
      </c>
      <c r="N41" s="52" t="str">
        <f>O41</f>
        <v>INSUMOS ASFÁLTICOS</v>
      </c>
      <c r="O41" s="53" t="s">
        <v>1055</v>
      </c>
      <c r="P41" s="235">
        <f t="shared" si="2"/>
        <v>0</v>
      </c>
      <c r="Q41" s="236">
        <f t="shared" si="3"/>
        <v>0</v>
      </c>
      <c r="R41" s="236">
        <f t="shared" si="4"/>
        <v>0</v>
      </c>
      <c r="S41" s="236">
        <f t="shared" si="5"/>
        <v>0</v>
      </c>
      <c r="T41" s="236">
        <f t="shared" si="6"/>
        <v>0</v>
      </c>
      <c r="U41" s="237" t="str">
        <f>IF(AA41 = "", "", IF(OR($H41 = PARÂMETROS!$E$5, $H41 = ""), AA41, IF(OR(AA41 &lt; (1-VLOOKUP($H41,PARÂMETROS!$E:$F,2,FALSE))*$P41, AA41 &gt; (1+VLOOKUP($H41,PARÂMETROS!$E:$F,2,FALSE))*$P41),"",AA41)))</f>
        <v/>
      </c>
      <c r="V41" s="237" t="str">
        <f>IF(AG41 = "", "", IF(OR($H41 = PARÂMETROS!$E$5, $H41 = ""), AG41, IF(OR(AG41 &lt; (1-VLOOKUP($H41,PARÂMETROS!$E:$F,2,FALSE))*#REF!, AG41 &gt; (1+VLOOKUP($H41,PARÂMETROS!$E:$F,2,FALSE))*$P41),"",AG41)))</f>
        <v/>
      </c>
      <c r="W41" s="237" t="str">
        <f>IF(AM41 = "", "", IF(OR($H41 = PARÂMETROS!$E$5, $H41 = ""), AM41, IF(OR(AM41 &lt; (1-VLOOKUP($H41,PARÂMETROS!$E:$F,2,FALSE))*$P41, AM41 &gt; (1+VLOOKUP($H41,PARÂMETROS!$E:$F,2,FALSE))*$P41),"",AM41)))</f>
        <v/>
      </c>
      <c r="X41" s="237" t="str">
        <f>IF(AS41 = "", "", IF(OR($H41 = PARÂMETROS!$E$5, $H41 = ""), AS41, IF(OR(AS41 &lt; (1-VLOOKUP($H41,PARÂMETROS!$E:$F,2,FALSE))*$P41, AS41 &gt; (1+VLOOKUP($H41,PARÂMETROS!$E:$F,2,FALSE))*$P41),"",AS41)))</f>
        <v/>
      </c>
      <c r="Y41" s="237" t="str">
        <f>IF(AY41 = "", "", IF(OR($H41 = PARÂMETROS!$E$5, $H41 = ""), AY41, IF(OR(AY41 &lt; (1-VLOOKUP($H41,PARÂMETROS!$E:$F,2,FALSE))*$P41, AY41 &gt; (1+VLOOKUP($H41,PARÂMETROS!$E:$F,2,FALSE))*$P41),"",AY41)))</f>
        <v/>
      </c>
      <c r="Z41" s="237" t="str">
        <f>IF(BE41 = "", "", IF(OR($H41 = PARÂMETROS!$E$5, $H41 = ""), BE41, IF(OR(BE41 &lt; (1-VLOOKUP($H41,PARÂMETROS!$E:$F,2,FALSE))*$P41, BE41 &gt; (1+VLOOKUP($H41,PARÂMETROS!$E:$F,2,FALSE))*$P41),"",BE41)))</f>
        <v/>
      </c>
      <c r="AA41" s="207"/>
      <c r="AB41" s="208"/>
      <c r="AC41" s="206"/>
      <c r="AD41" s="219"/>
      <c r="AE41" s="218"/>
      <c r="AF41" s="220"/>
      <c r="AG41" s="229"/>
      <c r="AH41" s="231"/>
      <c r="AI41" s="206"/>
      <c r="AJ41" s="217"/>
      <c r="AK41" s="218"/>
      <c r="AL41" s="220"/>
      <c r="AM41" s="229"/>
      <c r="AN41" s="231"/>
      <c r="AO41" s="206"/>
      <c r="AP41" s="217"/>
      <c r="AQ41" s="218"/>
      <c r="AR41" s="220" t="str">
        <f t="shared" ca="1" si="9"/>
        <v/>
      </c>
      <c r="AS41" s="229"/>
      <c r="AT41" s="231"/>
      <c r="AU41" s="191" t="str">
        <f>IF(AND(OR(AS41="",AS41=0),OR(AS41="",AT41=0)),"",IF(OR(AS41="",AS41=0),"DEFINIR PREÇO",IF(OR(AT41="",AT41=0),"DEFINIR FORNECEDOR",IF(OR(AS41&lt;&gt;"",AS41&lt;&gt;0),VLOOKUP(AT41,#REF!,2,FALSE)))))</f>
        <v/>
      </c>
      <c r="AV41" s="217"/>
      <c r="AW41" s="218"/>
      <c r="AX41" s="220" t="str">
        <f t="shared" ca="1" si="10"/>
        <v/>
      </c>
      <c r="AY41" s="229"/>
      <c r="AZ41" s="234"/>
      <c r="BA41" s="209" t="str">
        <f>IF(AND(OR(AY41="",AY41=0),OR(AY41="",AZ41=0)),"",IF(OR(AY41="",AY41=0),"DEFINIR PREÇO",IF(OR(AZ41="",AZ41=0),"DEFINIR FORNECEDOR",IF(OR(AY41&lt;&gt;"",AY41&lt;&gt;0),VLOOKUP(AZ41,#REF!,2,FALSE)))))</f>
        <v/>
      </c>
      <c r="BB41" s="217"/>
      <c r="BC41" s="218"/>
      <c r="BD41" s="220" t="str">
        <f t="shared" ca="1" si="11"/>
        <v/>
      </c>
      <c r="BE41" s="195"/>
      <c r="BF41" s="196"/>
      <c r="BG41" s="194"/>
      <c r="BH41" s="194"/>
      <c r="BI41" s="194"/>
      <c r="BJ41" s="197"/>
    </row>
    <row r="42" spans="1:62" ht="23.25" customHeight="1" x14ac:dyDescent="0.25">
      <c r="A42" s="44" t="s">
        <v>405</v>
      </c>
      <c r="B42" s="58" t="s">
        <v>115</v>
      </c>
      <c r="C42" s="45">
        <v>4</v>
      </c>
      <c r="D42" s="245" t="s">
        <v>104</v>
      </c>
      <c r="E42" s="157" t="s">
        <v>31</v>
      </c>
      <c r="F42" s="46" t="e">
        <f>VLOOKUP(B42,#REF!,6,FALSE)</f>
        <v>#REF!</v>
      </c>
      <c r="G42" s="47" t="e">
        <f>VLOOKUP(B42,#REF!,6,FALSE)</f>
        <v>#REF!</v>
      </c>
      <c r="H42" s="240" t="s">
        <v>2000</v>
      </c>
      <c r="I42" s="240" t="s">
        <v>2001</v>
      </c>
      <c r="J42" s="242" t="str">
        <f>IFERROR(IF(N42&lt;&gt;"",M42,IF(I42 = PARÂMETROS!$B$5,Q42, IF(I42 = PARÂMETROS!$B$6,R42,IF(I42 = PARÂMETROS!$B$7,S42,IF(I42 = PARÂMETROS!$B$8, T42,"DEFINIR CRITÉRIO"))))),"SEM PREÇO")</f>
        <v>SEM PREÇO</v>
      </c>
      <c r="K42" s="241">
        <f t="shared" si="0"/>
        <v>0</v>
      </c>
      <c r="L42" s="238" t="str">
        <f t="shared" si="1"/>
        <v/>
      </c>
      <c r="M42" s="180" t="e">
        <f>F42</f>
        <v>#REF!</v>
      </c>
      <c r="N42" s="52" t="str">
        <f>O42</f>
        <v>INSUMOS ASFÁLTICOS</v>
      </c>
      <c r="O42" s="53" t="s">
        <v>1055</v>
      </c>
      <c r="P42" s="235">
        <f t="shared" si="2"/>
        <v>0</v>
      </c>
      <c r="Q42" s="236">
        <f t="shared" si="3"/>
        <v>0</v>
      </c>
      <c r="R42" s="236">
        <f t="shared" si="4"/>
        <v>0</v>
      </c>
      <c r="S42" s="236">
        <f t="shared" si="5"/>
        <v>0</v>
      </c>
      <c r="T42" s="236">
        <f t="shared" si="6"/>
        <v>0</v>
      </c>
      <c r="U42" s="237" t="str">
        <f>IF(AA42 = "", "", IF(OR($H42 = PARÂMETROS!$E$5, $H42 = ""), AA42, IF(OR(AA42 &lt; (1-VLOOKUP($H42,PARÂMETROS!$E:$F,2,FALSE))*$P42, AA42 &gt; (1+VLOOKUP($H42,PARÂMETROS!$E:$F,2,FALSE))*$P42),"",AA42)))</f>
        <v/>
      </c>
      <c r="V42" s="237" t="str">
        <f>IF(AG42 = "", "", IF(OR($H42 = PARÂMETROS!$E$5, $H42 = ""), AG42, IF(OR(AG42 &lt; (1-VLOOKUP($H42,PARÂMETROS!$E:$F,2,FALSE))*$P47, AG42 &gt; (1+VLOOKUP($H42,PARÂMETROS!$E:$F,2,FALSE))*$P42),"",AG42)))</f>
        <v/>
      </c>
      <c r="W42" s="237" t="str">
        <f>IF(AM42 = "", "", IF(OR($H42 = PARÂMETROS!$E$5, $H42 = ""), AM42, IF(OR(AM42 &lt; (1-VLOOKUP($H42,PARÂMETROS!$E:$F,2,FALSE))*$P42, AM42 &gt; (1+VLOOKUP($H42,PARÂMETROS!$E:$F,2,FALSE))*$P42),"",AM42)))</f>
        <v/>
      </c>
      <c r="X42" s="237" t="str">
        <f>IF(AS42 = "", "", IF(OR($H42 = PARÂMETROS!$E$5, $H42 = ""), AS42, IF(OR(AS42 &lt; (1-VLOOKUP($H42,PARÂMETROS!$E:$F,2,FALSE))*$P42, AS42 &gt; (1+VLOOKUP($H42,PARÂMETROS!$E:$F,2,FALSE))*$P42),"",AS42)))</f>
        <v/>
      </c>
      <c r="Y42" s="237" t="str">
        <f>IF(AY42 = "", "", IF(OR($H42 = PARÂMETROS!$E$5, $H42 = ""), AY42, IF(OR(AY42 &lt; (1-VLOOKUP($H42,PARÂMETROS!$E:$F,2,FALSE))*$P42, AY42 &gt; (1+VLOOKUP($H42,PARÂMETROS!$E:$F,2,FALSE))*$P42),"",AY42)))</f>
        <v/>
      </c>
      <c r="Z42" s="237" t="str">
        <f>IF(BE42 = "", "", IF(OR($H42 = PARÂMETROS!$E$5, $H42 = ""), BE42, IF(OR(BE42 &lt; (1-VLOOKUP($H42,PARÂMETROS!$E:$F,2,FALSE))*$P42, BE42 &gt; (1+VLOOKUP($H42,PARÂMETROS!$E:$F,2,FALSE))*$P42),"",BE42)))</f>
        <v/>
      </c>
      <c r="AA42" s="210"/>
      <c r="AB42" s="208"/>
      <c r="AC42" s="206"/>
      <c r="AD42" s="219"/>
      <c r="AE42" s="218"/>
      <c r="AF42" s="220"/>
      <c r="AG42" s="229"/>
      <c r="AH42" s="231"/>
      <c r="AI42" s="206"/>
      <c r="AJ42" s="217"/>
      <c r="AK42" s="218"/>
      <c r="AL42" s="220"/>
      <c r="AM42" s="229"/>
      <c r="AN42" s="231"/>
      <c r="AO42" s="206"/>
      <c r="AP42" s="217"/>
      <c r="AQ42" s="218"/>
      <c r="AR42" s="220" t="str">
        <f t="shared" ca="1" si="9"/>
        <v/>
      </c>
      <c r="AS42" s="229"/>
      <c r="AT42" s="231"/>
      <c r="AU42" s="191" t="str">
        <f>IF(AND(OR(AS42="",AS42=0),OR(AS42="",AT42=0)),"",IF(OR(AS42="",AS42=0),"DEFINIR PREÇO",IF(OR(AT42="",AT42=0),"DEFINIR FORNECEDOR",IF(OR(AS42&lt;&gt;"",AS42&lt;&gt;0),VLOOKUP(AT42,#REF!,2,FALSE)))))</f>
        <v/>
      </c>
      <c r="AV42" s="217"/>
      <c r="AW42" s="218"/>
      <c r="AX42" s="220" t="str">
        <f t="shared" ca="1" si="10"/>
        <v/>
      </c>
      <c r="AY42" s="229"/>
      <c r="AZ42" s="234"/>
      <c r="BA42" s="209" t="str">
        <f>IF(AND(OR(AY42="",AY42=0),OR(AY42="",AZ42=0)),"",IF(OR(AY42="",AY42=0),"DEFINIR PREÇO",IF(OR(AZ42="",AZ42=0),"DEFINIR FORNECEDOR",IF(OR(AY42&lt;&gt;"",AY42&lt;&gt;0),VLOOKUP(AZ42,#REF!,2,FALSE)))))</f>
        <v/>
      </c>
      <c r="BB42" s="217"/>
      <c r="BC42" s="218"/>
      <c r="BD42" s="220" t="str">
        <f t="shared" ca="1" si="11"/>
        <v/>
      </c>
      <c r="BE42" s="195"/>
      <c r="BF42" s="196"/>
      <c r="BG42" s="194"/>
      <c r="BH42" s="194"/>
      <c r="BI42" s="194"/>
      <c r="BJ42" s="197"/>
    </row>
    <row r="43" spans="1:62" ht="41.25" customHeight="1" x14ac:dyDescent="0.25">
      <c r="A43" s="44" t="s">
        <v>405</v>
      </c>
      <c r="B43" s="58" t="s">
        <v>122</v>
      </c>
      <c r="C43" s="45">
        <v>4</v>
      </c>
      <c r="D43" s="245" t="s">
        <v>111</v>
      </c>
      <c r="E43" s="157" t="s">
        <v>31</v>
      </c>
      <c r="F43" s="46" t="e">
        <f>VLOOKUP(B43,#REF!,6,FALSE)</f>
        <v>#REF!</v>
      </c>
      <c r="G43" s="47" t="e">
        <f>VLOOKUP(B43,#REF!,6,FALSE)</f>
        <v>#REF!</v>
      </c>
      <c r="H43" s="240" t="s">
        <v>2000</v>
      </c>
      <c r="I43" s="240" t="s">
        <v>2001</v>
      </c>
      <c r="J43" s="242" t="str">
        <f>IFERROR(IF(N43&lt;&gt;"",M43,IF(I43 = PARÂMETROS!$B$5,Q43, IF(I43 = PARÂMETROS!$B$6,R43,IF(I43 = PARÂMETROS!$B$7,S43,IF(I43 = PARÂMETROS!$B$8, T43,"DEFINIR CRITÉRIO"))))),"SEM PREÇO")</f>
        <v>SEM PREÇO</v>
      </c>
      <c r="K43" s="241">
        <f t="shared" si="0"/>
        <v>0</v>
      </c>
      <c r="L43" s="238" t="str">
        <f t="shared" si="1"/>
        <v/>
      </c>
      <c r="M43" s="180" t="e">
        <f>F43</f>
        <v>#REF!</v>
      </c>
      <c r="N43" s="52" t="str">
        <f>O43</f>
        <v>INSUMOS ASFÁLTICOS</v>
      </c>
      <c r="O43" s="53" t="s">
        <v>1055</v>
      </c>
      <c r="P43" s="235">
        <f t="shared" si="2"/>
        <v>0</v>
      </c>
      <c r="Q43" s="236">
        <f t="shared" si="3"/>
        <v>0</v>
      </c>
      <c r="R43" s="236">
        <f t="shared" si="4"/>
        <v>0</v>
      </c>
      <c r="S43" s="236">
        <f t="shared" si="5"/>
        <v>0</v>
      </c>
      <c r="T43" s="236">
        <f t="shared" si="6"/>
        <v>0</v>
      </c>
      <c r="U43" s="237" t="str">
        <f>IF(AA43 = "", "", IF(OR($H43 = PARÂMETROS!$E$5, $H43 = ""), AA43, IF(OR(AA43 &lt; (1-VLOOKUP($H43,PARÂMETROS!$E:$F,2,FALSE))*$P43, AA43 &gt; (1+VLOOKUP($H43,PARÂMETROS!$E:$F,2,FALSE))*$P43),"",AA43)))</f>
        <v/>
      </c>
      <c r="V43" s="237" t="str">
        <f>IF(AG43 = "", "", IF(OR($H43 = PARÂMETROS!$E$5, $H43 = ""), AG43, IF(OR(AG43 &lt; (1-VLOOKUP($H43,PARÂMETROS!$E:$F,2,FALSE))*$P48, AG43 &gt; (1+VLOOKUP($H43,PARÂMETROS!$E:$F,2,FALSE))*$P43),"",AG43)))</f>
        <v/>
      </c>
      <c r="W43" s="237" t="str">
        <f>IF(AM43 = "", "", IF(OR($H43 = PARÂMETROS!$E$5, $H43 = ""), AM43, IF(OR(AM43 &lt; (1-VLOOKUP($H43,PARÂMETROS!$E:$F,2,FALSE))*$P43, AM43 &gt; (1+VLOOKUP($H43,PARÂMETROS!$E:$F,2,FALSE))*$P43),"",AM43)))</f>
        <v/>
      </c>
      <c r="X43" s="237" t="str">
        <f>IF(AS43 = "", "", IF(OR($H43 = PARÂMETROS!$E$5, $H43 = ""), AS43, IF(OR(AS43 &lt; (1-VLOOKUP($H43,PARÂMETROS!$E:$F,2,FALSE))*$P43, AS43 &gt; (1+VLOOKUP($H43,PARÂMETROS!$E:$F,2,FALSE))*$P43),"",AS43)))</f>
        <v/>
      </c>
      <c r="Y43" s="237" t="str">
        <f>IF(AY43 = "", "", IF(OR($H43 = PARÂMETROS!$E$5, $H43 = ""), AY43, IF(OR(AY43 &lt; (1-VLOOKUP($H43,PARÂMETROS!$E:$F,2,FALSE))*$P43, AY43 &gt; (1+VLOOKUP($H43,PARÂMETROS!$E:$F,2,FALSE))*$P43),"",AY43)))</f>
        <v/>
      </c>
      <c r="Z43" s="237" t="str">
        <f>IF(BE43 = "", "", IF(OR($H43 = PARÂMETROS!$E$5, $H43 = ""), BE43, IF(OR(BE43 &lt; (1-VLOOKUP($H43,PARÂMETROS!$E:$F,2,FALSE))*$P43, BE43 &gt; (1+VLOOKUP($H43,PARÂMETROS!$E:$F,2,FALSE))*$P43),"",BE43)))</f>
        <v/>
      </c>
      <c r="AA43" s="207"/>
      <c r="AB43" s="208"/>
      <c r="AC43" s="206"/>
      <c r="AD43" s="219"/>
      <c r="AE43" s="218"/>
      <c r="AF43" s="220"/>
      <c r="AG43" s="229"/>
      <c r="AH43" s="231"/>
      <c r="AI43" s="206"/>
      <c r="AJ43" s="217"/>
      <c r="AK43" s="218"/>
      <c r="AL43" s="220"/>
      <c r="AM43" s="229"/>
      <c r="AN43" s="231"/>
      <c r="AO43" s="206"/>
      <c r="AP43" s="217"/>
      <c r="AQ43" s="218"/>
      <c r="AR43" s="220" t="str">
        <f t="shared" ca="1" si="9"/>
        <v/>
      </c>
      <c r="AS43" s="229"/>
      <c r="AT43" s="231"/>
      <c r="AU43" s="191" t="str">
        <f>IF(AND(OR(AS43="",AS43=0),OR(AS43="",AT43=0)),"",IF(OR(AS43="",AS43=0),"DEFINIR PREÇO",IF(OR(AT43="",AT43=0),"DEFINIR FORNECEDOR",IF(OR(AS43&lt;&gt;"",AS43&lt;&gt;0),VLOOKUP(AT43,#REF!,2,FALSE)))))</f>
        <v/>
      </c>
      <c r="AV43" s="217"/>
      <c r="AW43" s="218"/>
      <c r="AX43" s="220" t="str">
        <f t="shared" ca="1" si="10"/>
        <v/>
      </c>
      <c r="AY43" s="229"/>
      <c r="AZ43" s="234"/>
      <c r="BA43" s="209" t="str">
        <f>IF(AND(OR(AY43="",AY43=0),OR(AY43="",AZ43=0)),"",IF(OR(AY43="",AY43=0),"DEFINIR PREÇO",IF(OR(AZ43="",AZ43=0),"DEFINIR FORNECEDOR",IF(OR(AY43&lt;&gt;"",AY43&lt;&gt;0),VLOOKUP(AZ43,#REF!,2,FALSE)))))</f>
        <v/>
      </c>
      <c r="BB43" s="217"/>
      <c r="BC43" s="218"/>
      <c r="BD43" s="220" t="str">
        <f t="shared" ca="1" si="11"/>
        <v/>
      </c>
      <c r="BE43" s="195"/>
      <c r="BF43" s="196"/>
      <c r="BG43" s="194"/>
      <c r="BH43" s="194"/>
      <c r="BI43" s="194"/>
      <c r="BJ43" s="197"/>
    </row>
    <row r="44" spans="1:62" ht="30" x14ac:dyDescent="0.25">
      <c r="A44" s="44" t="s">
        <v>405</v>
      </c>
      <c r="B44" s="58" t="s">
        <v>2024</v>
      </c>
      <c r="C44" s="45">
        <v>4</v>
      </c>
      <c r="D44" s="245" t="s">
        <v>2025</v>
      </c>
      <c r="E44" s="157" t="s">
        <v>78</v>
      </c>
      <c r="F44" s="46" t="e">
        <f>VLOOKUP(B44,#REF!,6,FALSE)</f>
        <v>#REF!</v>
      </c>
      <c r="G44" s="47" t="e">
        <f>VLOOKUP(B44,#REF!,6,FALSE)</f>
        <v>#REF!</v>
      </c>
      <c r="H44" s="240" t="s">
        <v>2000</v>
      </c>
      <c r="I44" s="240" t="s">
        <v>2001</v>
      </c>
      <c r="J44" s="242" t="str">
        <f>IFERROR(IF(N44&lt;&gt;"",M44,IF(I44 = PARÂMETROS!$B$5,Q44, IF(I44 = PARÂMETROS!$B$6,R44,IF(I44 = PARÂMETROS!$B$7,S44,IF(I44 = PARÂMETROS!$B$8, T44,"DEFINIR CRITÉRIO"))))),"SEM PREÇO")</f>
        <v>SEM PREÇO</v>
      </c>
      <c r="K44" s="241">
        <f t="shared" si="0"/>
        <v>0</v>
      </c>
      <c r="L44" s="238" t="str">
        <f t="shared" si="1"/>
        <v/>
      </c>
      <c r="M44" s="180" t="e">
        <f>F44</f>
        <v>#REF!</v>
      </c>
      <c r="N44" s="52" t="str">
        <f>O44</f>
        <v>INSUMOS ASFÁLTICOS</v>
      </c>
      <c r="O44" s="53" t="s">
        <v>1055</v>
      </c>
      <c r="P44" s="235">
        <f t="shared" si="2"/>
        <v>0</v>
      </c>
      <c r="Q44" s="236">
        <f t="shared" si="3"/>
        <v>0</v>
      </c>
      <c r="R44" s="236">
        <f t="shared" si="4"/>
        <v>0</v>
      </c>
      <c r="S44" s="236">
        <f t="shared" si="5"/>
        <v>0</v>
      </c>
      <c r="T44" s="236">
        <f t="shared" si="6"/>
        <v>0</v>
      </c>
      <c r="U44" s="237" t="str">
        <f>IF(AA44 = "", "", IF(OR($H44 = PARÂMETROS!$E$5, $H44 = ""), AA44, IF(OR(AA44 &lt; (1-VLOOKUP($H44,PARÂMETROS!$E:$F,2,FALSE))*$P44, AA44 &gt; (1+VLOOKUP($H44,PARÂMETROS!$E:$F,2,FALSE))*$P44),"",AA44)))</f>
        <v/>
      </c>
      <c r="V44" s="237" t="str">
        <f>IF(AG44 = "", "", IF(OR($H44 = PARÂMETROS!$E$5, $H44 = ""), AG44, IF(OR(AG44 &lt; (1-VLOOKUP($H44,PARÂMETROS!$E:$F,2,FALSE))*$P49, AG44 &gt; (1+VLOOKUP($H44,PARÂMETROS!$E:$F,2,FALSE))*$P44),"",AG44)))</f>
        <v/>
      </c>
      <c r="W44" s="237" t="str">
        <f>IF(AM44 = "", "", IF(OR($H44 = PARÂMETROS!$E$5, $H44 = ""), AM44, IF(OR(AM44 &lt; (1-VLOOKUP($H44,PARÂMETROS!$E:$F,2,FALSE))*$P44, AM44 &gt; (1+VLOOKUP($H44,PARÂMETROS!$E:$F,2,FALSE))*$P44),"",AM44)))</f>
        <v/>
      </c>
      <c r="X44" s="237" t="str">
        <f>IF(AS44 = "", "", IF(OR($H44 = PARÂMETROS!$E$5, $H44 = ""), AS44, IF(OR(AS44 &lt; (1-VLOOKUP($H44,PARÂMETROS!$E:$F,2,FALSE))*$P44, AS44 &gt; (1+VLOOKUP($H44,PARÂMETROS!$E:$F,2,FALSE))*$P44),"",AS44)))</f>
        <v/>
      </c>
      <c r="Y44" s="237" t="str">
        <f>IF(AY44 = "", "", IF(OR($H44 = PARÂMETROS!$E$5, $H44 = ""), AY44, IF(OR(AY44 &lt; (1-VLOOKUP($H44,PARÂMETROS!$E:$F,2,FALSE))*$P44, AY44 &gt; (1+VLOOKUP($H44,PARÂMETROS!$E:$F,2,FALSE))*$P44),"",AY44)))</f>
        <v/>
      </c>
      <c r="Z44" s="237" t="str">
        <f>IF(BE44 = "", "", IF(OR($H44 = PARÂMETROS!$E$5, $H44 = ""), BE44, IF(OR(BE44 &lt; (1-VLOOKUP($H44,PARÂMETROS!$E:$F,2,FALSE))*$P44, BE44 &gt; (1+VLOOKUP($H44,PARÂMETROS!$E:$F,2,FALSE))*$P44),"",BE44)))</f>
        <v/>
      </c>
      <c r="AA44" s="207"/>
      <c r="AB44" s="208"/>
      <c r="AC44" s="206"/>
      <c r="AD44" s="219"/>
      <c r="AE44" s="218"/>
      <c r="AF44" s="220"/>
      <c r="AG44" s="229"/>
      <c r="AH44" s="231"/>
      <c r="AI44" s="206"/>
      <c r="AJ44" s="217"/>
      <c r="AK44" s="218"/>
      <c r="AL44" s="220"/>
      <c r="AM44" s="229"/>
      <c r="AN44" s="231"/>
      <c r="AO44" s="206"/>
      <c r="AP44" s="217"/>
      <c r="AQ44" s="218"/>
      <c r="AR44" s="220" t="str">
        <f t="shared" ref="AR44" ca="1" si="19">IF(AQ44 = "", "", IF(AQ44 + 180 &gt; TODAY(),"VIGENTE", "DESATUALIZADA"))</f>
        <v/>
      </c>
      <c r="AS44" s="229"/>
      <c r="AT44" s="231"/>
      <c r="AU44" s="191" t="str">
        <f>IF(AND(OR(AS44="",AS44=0),OR(AS44="",AT44=0)),"",IF(OR(AS44="",AS44=0),"DEFINIR PREÇO",IF(OR(AT44="",AT44=0),"DEFINIR FORNECEDOR",IF(OR(AS44&lt;&gt;"",AS44&lt;&gt;0),VLOOKUP(AT44,#REF!,2,FALSE)))))</f>
        <v/>
      </c>
      <c r="AV44" s="217"/>
      <c r="AW44" s="218"/>
      <c r="AX44" s="220" t="str">
        <f t="shared" ref="AX44" ca="1" si="20">IF(AW44 = "", "", IF(AW44 + 180 &gt; TODAY(),"VIGENTE", "DESATUALIZADA"))</f>
        <v/>
      </c>
      <c r="AY44" s="229"/>
      <c r="AZ44" s="234"/>
      <c r="BA44" s="209" t="str">
        <f>IF(AND(OR(AY44="",AY44=0),OR(AY44="",AZ44=0)),"",IF(OR(AY44="",AY44=0),"DEFINIR PREÇO",IF(OR(AZ44="",AZ44=0),"DEFINIR FORNECEDOR",IF(OR(AY44&lt;&gt;"",AY44&lt;&gt;0),VLOOKUP(AZ44,#REF!,2,FALSE)))))</f>
        <v/>
      </c>
      <c r="BB44" s="217"/>
      <c r="BC44" s="218"/>
      <c r="BD44" s="220" t="str">
        <f t="shared" ref="BD44" ca="1" si="21">IF(BC44 = "", "", IF(BC44 + 180 &gt; TODAY(),"VIGENTE", "DESATUALIZADA"))</f>
        <v/>
      </c>
      <c r="BE44" s="195"/>
      <c r="BF44" s="196"/>
      <c r="BG44" s="194"/>
      <c r="BH44" s="194"/>
      <c r="BI44" s="194"/>
      <c r="BJ44" s="197"/>
    </row>
    <row r="45" spans="1:62" ht="25.5" x14ac:dyDescent="0.25">
      <c r="A45" s="44" t="s">
        <v>405</v>
      </c>
      <c r="B45" s="58" t="s">
        <v>2058</v>
      </c>
      <c r="C45" s="45">
        <v>4</v>
      </c>
      <c r="D45" s="245" t="s">
        <v>2059</v>
      </c>
      <c r="E45" s="157" t="s">
        <v>78</v>
      </c>
      <c r="F45" s="46" t="str">
        <f t="shared" ref="F45" si="22">J45</f>
        <v>SEM PREÇO</v>
      </c>
      <c r="G45" s="47" t="str">
        <f t="shared" ref="G45" si="23">J45</f>
        <v>SEM PREÇO</v>
      </c>
      <c r="H45" s="240" t="s">
        <v>2000</v>
      </c>
      <c r="I45" s="240" t="s">
        <v>2001</v>
      </c>
      <c r="J45" s="242" t="str">
        <f>IFERROR(IF(N45&lt;&gt;"",M45,IF(I45 = PARÂMETROS!$B$5,Q45, IF(I45 = PARÂMETROS!$B$6,R45,IF(I45 = PARÂMETROS!$B$7,S45,IF(I45 = PARÂMETROS!$B$8, T45,"DEFINIR CRITÉRIO"))))),"SEM PREÇO")</f>
        <v>SEM PREÇO</v>
      </c>
      <c r="K45" s="241">
        <f t="shared" ref="K45" si="24">IF(OR(J45="", J45="DEFINIR VALOR", J45="DEFINIR CRITÉRIO"),"",IFERROR(_xlfn.STDEV.P(AA45,AG45,AM45,AS45,AY45,BE45),0))</f>
        <v>0</v>
      </c>
      <c r="L45" s="238" t="str">
        <f t="shared" ref="L45" si="25">IF(OR(P45="", P45="DEFINIR VALOR", P45="DEFINIR CRITÉRIO",K45 = ""),"", IF(P45 = 0, "", K45/P45))</f>
        <v/>
      </c>
      <c r="M45" s="51" t="e">
        <f>VLOOKUP(N45,#REF!,4,FALSE)</f>
        <v>#REF!</v>
      </c>
      <c r="N45" s="52">
        <v>1518</v>
      </c>
      <c r="O45" s="53" t="s">
        <v>404</v>
      </c>
      <c r="P45" s="235">
        <f t="shared" ref="P45" si="26">IFERROR(AVERAGE(AA45,AG45,AM45,AS45,AY45,BE45),0)</f>
        <v>0</v>
      </c>
      <c r="Q45" s="236">
        <f t="shared" ref="Q45" si="27">IFERROR(AVERAGE(U45:Z45),0)</f>
        <v>0</v>
      </c>
      <c r="R45" s="236">
        <f t="shared" ref="R45" si="28">IFERROR(MEDIAN(U45:Z45),0)</f>
        <v>0</v>
      </c>
      <c r="S45" s="236">
        <f t="shared" ref="S45" si="29">IFERROR(SMALL(U45:Z45,1),0)</f>
        <v>0</v>
      </c>
      <c r="T45" s="236">
        <f t="shared" ref="T45" si="30">IFERROR(_xlfn.MODE.SNGL(U45:Z45),0)</f>
        <v>0</v>
      </c>
      <c r="U45" s="237" t="str">
        <f>IF(AA45 = "", "", IF(OR($H45 = PARÂMETROS!$E$5, $H45 = ""), AA45, IF(OR(AA45 &lt; (1-VLOOKUP($H45,PARÂMETROS!$E:$F,2,FALSE))*$P45, AA45 &gt; (1+VLOOKUP($H45,PARÂMETROS!$E:$F,2,FALSE))*$P45),"",AA45)))</f>
        <v/>
      </c>
      <c r="V45" s="237" t="str">
        <f>IF(AG45 = "", "", IF(OR($H45 = PARÂMETROS!$E$5, $H45 = ""), AG45, IF(OR(AG45 &lt; (1-VLOOKUP($H45,PARÂMETROS!$E:$F,2,FALSE))*$P50, AG45 &gt; (1+VLOOKUP($H45,PARÂMETROS!$E:$F,2,FALSE))*$P45),"",AG45)))</f>
        <v/>
      </c>
      <c r="W45" s="237" t="str">
        <f>IF(AM45 = "", "", IF(OR($H45 = PARÂMETROS!$E$5, $H45 = ""), AM45, IF(OR(AM45 &lt; (1-VLOOKUP($H45,PARÂMETROS!$E:$F,2,FALSE))*$P45, AM45 &gt; (1+VLOOKUP($H45,PARÂMETROS!$E:$F,2,FALSE))*$P45),"",AM45)))</f>
        <v/>
      </c>
      <c r="X45" s="237" t="str">
        <f>IF(AS45 = "", "", IF(OR($H45 = PARÂMETROS!$E$5, $H45 = ""), AS45, IF(OR(AS45 &lt; (1-VLOOKUP($H45,PARÂMETROS!$E:$F,2,FALSE))*$P45, AS45 &gt; (1+VLOOKUP($H45,PARÂMETROS!$E:$F,2,FALSE))*$P45),"",AS45)))</f>
        <v/>
      </c>
      <c r="Y45" s="237" t="str">
        <f>IF(AY45 = "", "", IF(OR($H45 = PARÂMETROS!$E$5, $H45 = ""), AY45, IF(OR(AY45 &lt; (1-VLOOKUP($H45,PARÂMETROS!$E:$F,2,FALSE))*$P45, AY45 &gt; (1+VLOOKUP($H45,PARÂMETROS!$E:$F,2,FALSE))*$P45),"",AY45)))</f>
        <v/>
      </c>
      <c r="Z45" s="237" t="str">
        <f>IF(BE45 = "", "", IF(OR($H45 = PARÂMETROS!$E$5, $H45 = ""), BE45, IF(OR(BE45 &lt; (1-VLOOKUP($H45,PARÂMETROS!$E:$F,2,FALSE))*$P45, BE45 &gt; (1+VLOOKUP($H45,PARÂMETROS!$E:$F,2,FALSE))*$P45),"",BE45)))</f>
        <v/>
      </c>
      <c r="AA45" s="207"/>
      <c r="AB45" s="208"/>
      <c r="AC45" s="206"/>
      <c r="AD45" s="219"/>
      <c r="AE45" s="218"/>
      <c r="AF45" s="220"/>
      <c r="AG45" s="229"/>
      <c r="AH45" s="231"/>
      <c r="AI45" s="206"/>
      <c r="AJ45" s="217"/>
      <c r="AK45" s="218"/>
      <c r="AL45" s="220"/>
      <c r="AM45" s="229"/>
      <c r="AN45" s="231"/>
      <c r="AO45" s="206"/>
      <c r="AP45" s="217"/>
      <c r="AQ45" s="218"/>
      <c r="AR45" s="220" t="str">
        <f t="shared" ref="AR45" ca="1" si="31">IF(AQ45 = "", "", IF(AQ45 + 180 &gt; TODAY(),"VIGENTE", "DESATUALIZADA"))</f>
        <v/>
      </c>
      <c r="AS45" s="229"/>
      <c r="AT45" s="231"/>
      <c r="AU45" s="191" t="str">
        <f>IF(AND(OR(AS45="",AS45=0),OR(AS45="",AT45=0)),"",IF(OR(AS45="",AS45=0),"DEFINIR PREÇO",IF(OR(AT45="",AT45=0),"DEFINIR FORNECEDOR",IF(OR(AS45&lt;&gt;"",AS45&lt;&gt;0),VLOOKUP(AT45,#REF!,2,FALSE)))))</f>
        <v/>
      </c>
      <c r="AV45" s="217"/>
      <c r="AW45" s="218"/>
      <c r="AX45" s="220" t="str">
        <f t="shared" ref="AX45" ca="1" si="32">IF(AW45 = "", "", IF(AW45 + 180 &gt; TODAY(),"VIGENTE", "DESATUALIZADA"))</f>
        <v/>
      </c>
      <c r="AY45" s="229"/>
      <c r="AZ45" s="234"/>
      <c r="BA45" s="209" t="str">
        <f>IF(AND(OR(AY45="",AY45=0),OR(AY45="",AZ45=0)),"",IF(OR(AY45="",AY45=0),"DEFINIR PREÇO",IF(OR(AZ45="",AZ45=0),"DEFINIR FORNECEDOR",IF(OR(AY45&lt;&gt;"",AY45&lt;&gt;0),VLOOKUP(AZ45,#REF!,2,FALSE)))))</f>
        <v/>
      </c>
      <c r="BB45" s="217"/>
      <c r="BC45" s="218"/>
      <c r="BD45" s="220" t="str">
        <f t="shared" ref="BD45" ca="1" si="33">IF(BC45 = "", "", IF(BC45 + 180 &gt; TODAY(),"VIGENTE", "DESATUALIZADA"))</f>
        <v/>
      </c>
      <c r="BE45" s="195"/>
      <c r="BF45" s="196"/>
      <c r="BG45" s="194"/>
      <c r="BH45" s="194"/>
      <c r="BI45" s="194"/>
      <c r="BJ45" s="197"/>
    </row>
    <row r="46" spans="1:62" ht="30" x14ac:dyDescent="0.25">
      <c r="A46" s="44" t="s">
        <v>405</v>
      </c>
      <c r="B46" s="58" t="s">
        <v>254</v>
      </c>
      <c r="C46" s="45">
        <v>4</v>
      </c>
      <c r="D46" s="55" t="s">
        <v>2069</v>
      </c>
      <c r="E46" s="45" t="s">
        <v>23</v>
      </c>
      <c r="F46" s="46" t="str">
        <f>J46</f>
        <v>DEFINIR CRITÉRIO</v>
      </c>
      <c r="G46" s="47" t="str">
        <f>J46</f>
        <v>DEFINIR CRITÉRIO</v>
      </c>
      <c r="H46" s="240" t="s">
        <v>2000</v>
      </c>
      <c r="I46" s="240" t="s">
        <v>2001</v>
      </c>
      <c r="J46" s="242" t="str">
        <f>IFERROR(IF(N46&lt;&gt;"",M46,IF(I46 = PARÂMETROS!$B$5,Q46, IF(I46 = PARÂMETROS!$B$6,R46,IF(I46 = PARÂMETROS!$B$7,S46,IF(I46 = PARÂMETROS!$B$8, T46,"DEFINIR CRITÉRIO"))))),"SEM PREÇO")</f>
        <v>DEFINIR CRITÉRIO</v>
      </c>
      <c r="K46" s="241" t="str">
        <f t="shared" si="0"/>
        <v/>
      </c>
      <c r="L46" s="238" t="str">
        <f t="shared" si="1"/>
        <v/>
      </c>
      <c r="M46" s="51"/>
      <c r="N46" s="52"/>
      <c r="O46" s="53"/>
      <c r="P46" s="235">
        <f t="shared" si="2"/>
        <v>5</v>
      </c>
      <c r="Q46" s="236">
        <f t="shared" si="3"/>
        <v>0</v>
      </c>
      <c r="R46" s="236">
        <f t="shared" si="4"/>
        <v>0</v>
      </c>
      <c r="S46" s="236">
        <f t="shared" si="5"/>
        <v>0</v>
      </c>
      <c r="T46" s="236">
        <f t="shared" si="6"/>
        <v>0</v>
      </c>
      <c r="U46" s="237" t="e">
        <f>IF(AA46 = "", "", IF(OR($H46 = PARÂMETROS!$E$5, $H46 = ""), AA46, IF(OR(AA46 &lt; (1-VLOOKUP($H46,PARÂMETROS!$E:$F,2,FALSE))*$P46, AA46 &gt; (1+VLOOKUP($H46,PARÂMETROS!$E:$F,2,FALSE))*$P46),"",AA46)))</f>
        <v>#N/A</v>
      </c>
      <c r="V46" s="237" t="str">
        <f>IF(AG46 = "", "", IF(OR($H46 = PARÂMETROS!$E$5, $H46 = ""), AG46, IF(OR(AG46 &lt; (1-VLOOKUP($H46,PARÂMETROS!$E:$F,2,FALSE))*$P50, AG46 &gt; (1+VLOOKUP($H46,PARÂMETROS!$E:$F,2,FALSE))*$P46),"",AG46)))</f>
        <v/>
      </c>
      <c r="W46" s="237" t="str">
        <f>IF(AM46 = "", "", IF(OR($H46 = PARÂMETROS!$E$5, $H46 = ""), AM46, IF(OR(AM46 &lt; (1-VLOOKUP($H46,PARÂMETROS!$E:$F,2,FALSE))*$P46, AM46 &gt; (1+VLOOKUP($H46,PARÂMETROS!$E:$F,2,FALSE))*$P46),"",AM46)))</f>
        <v/>
      </c>
      <c r="X46" s="237" t="str">
        <f>IF(AS46 = "", "", IF(OR($H46 = PARÂMETROS!$E$5, $H46 = ""), AS46, IF(OR(AS46 &lt; (1-VLOOKUP($H46,PARÂMETROS!$E:$F,2,FALSE))*$P46, AS46 &gt; (1+VLOOKUP($H46,PARÂMETROS!$E:$F,2,FALSE))*$P46),"",AS46)))</f>
        <v/>
      </c>
      <c r="Y46" s="237" t="str">
        <f>IF(AY46 = "", "", IF(OR($H46 = PARÂMETROS!$E$5, $H46 = ""), AY46, IF(OR(AY46 &lt; (1-VLOOKUP($H46,PARÂMETROS!$E:$F,2,FALSE))*$P46, AY46 &gt; (1+VLOOKUP($H46,PARÂMETROS!$E:$F,2,FALSE))*$P46),"",AY46)))</f>
        <v/>
      </c>
      <c r="Z46" s="237" t="str">
        <f>IF(BE46 = "", "", IF(OR($H46 = PARÂMETROS!$E$5, $H46 = ""), BE46, IF(OR(BE46 &lt; (1-VLOOKUP($H46,PARÂMETROS!$E:$F,2,FALSE))*$P46, BE46 &gt; (1+VLOOKUP($H46,PARÂMETROS!$E:$F,2,FALSE))*$P46),"",BE46)))</f>
        <v/>
      </c>
      <c r="AA46" s="207">
        <v>5</v>
      </c>
      <c r="AB46" s="208">
        <v>1010</v>
      </c>
      <c r="AC46" s="206" t="e">
        <f>IF(AND(OR(AA46="",AA46=0),OR(AA46="",AB46=0)),"",IF(OR(AA46="",AA46=0),"DEFINIR PREÇO",IF(OR(AB46="",AB46=0),"DEFINIR FORNECEDOR",IF(OR(AA46&lt;&gt;"",AA46&lt;&gt;0),VLOOKUP(AB46,#REF!,2,FALSE)))))</f>
        <v>#REF!</v>
      </c>
      <c r="AD46" s="217" t="s">
        <v>1981</v>
      </c>
      <c r="AE46" s="218">
        <v>44953</v>
      </c>
      <c r="AF46" s="220" t="str">
        <f t="shared" ca="1" si="7"/>
        <v>DESATUALIZADA</v>
      </c>
      <c r="AG46" s="229"/>
      <c r="AH46" s="231"/>
      <c r="AI46" s="206" t="str">
        <f>IF(AND(OR(AG46="",AG46=0),OR(AG46="",AH46=0)),"",IF(OR(AG46="",AG46=0),"DEFINIR PREÇO",IF(OR(AH46="",AH46=0),"DEFINIR FORNECEDOR",IF(OR(AG46&lt;&gt;"",AG46&lt;&gt;0),VLOOKUP(AH46,#REF!,2,FALSE)))))</f>
        <v/>
      </c>
      <c r="AJ46" s="217"/>
      <c r="AK46" s="218"/>
      <c r="AL46" s="220" t="str">
        <f t="shared" ca="1" si="8"/>
        <v/>
      </c>
      <c r="AM46" s="229"/>
      <c r="AN46" s="231"/>
      <c r="AO46" s="206" t="str">
        <f>IF(AND(OR(AM46="",AM46=0),OR(AM46="",AN46=0)),"",IF(OR(AM46="",AM46=0),"DEFINIR PREÇO",IF(OR(AN46="",AN46=0),"DEFINIR FORNECEDOR",IF(OR(AM46&lt;&gt;"",AM46&lt;&gt;0),VLOOKUP(AN46,#REF!,2,FALSE)))))</f>
        <v/>
      </c>
      <c r="AP46" s="217"/>
      <c r="AQ46" s="218"/>
      <c r="AR46" s="220" t="str">
        <f t="shared" ca="1" si="9"/>
        <v/>
      </c>
      <c r="AS46" s="229"/>
      <c r="AT46" s="231"/>
      <c r="AU46" s="191" t="str">
        <f>IF(AND(OR(AS46="",AS46=0),OR(AS46="",AT46=0)),"",IF(OR(AS46="",AS46=0),"DEFINIR PREÇO",IF(OR(AT46="",AT46=0),"DEFINIR FORNECEDOR",IF(OR(AS46&lt;&gt;"",AS46&lt;&gt;0),VLOOKUP(AT46,#REF!,2,FALSE)))))</f>
        <v/>
      </c>
      <c r="AV46" s="217"/>
      <c r="AW46" s="218"/>
      <c r="AX46" s="220" t="str">
        <f t="shared" ca="1" si="10"/>
        <v/>
      </c>
      <c r="AY46" s="229"/>
      <c r="AZ46" s="234"/>
      <c r="BA46" s="209" t="str">
        <f>IF(AND(OR(AY46="",AY46=0),OR(AY46="",AZ46=0)),"",IF(OR(AY46="",AY46=0),"DEFINIR PREÇO",IF(OR(AZ46="",AZ46=0),"DEFINIR FORNECEDOR",IF(OR(AY46&lt;&gt;"",AY46&lt;&gt;0),VLOOKUP(AZ46,#REF!,2,FALSE)))))</f>
        <v/>
      </c>
      <c r="BB46" s="217"/>
      <c r="BC46" s="218"/>
      <c r="BD46" s="220" t="str">
        <f t="shared" ca="1" si="11"/>
        <v/>
      </c>
      <c r="BE46" s="195"/>
      <c r="BF46" s="196"/>
      <c r="BG46" s="194"/>
      <c r="BH46" s="194"/>
      <c r="BI46" s="194"/>
      <c r="BJ46" s="197"/>
    </row>
    <row r="47" spans="1:62" x14ac:dyDescent="0.25">
      <c r="A47" s="44" t="s">
        <v>405</v>
      </c>
      <c r="B47" s="45" t="s">
        <v>416</v>
      </c>
      <c r="C47" s="45">
        <v>4</v>
      </c>
      <c r="D47" s="55" t="s">
        <v>141</v>
      </c>
      <c r="E47" s="45" t="s">
        <v>33</v>
      </c>
      <c r="F47" s="46" t="str">
        <f t="shared" ref="F47:F57" si="34">J47</f>
        <v>SEM PREÇO</v>
      </c>
      <c r="G47" s="47" t="str">
        <f t="shared" ref="G47:G61" si="35">J47</f>
        <v>SEM PREÇO</v>
      </c>
      <c r="H47" s="240" t="s">
        <v>2000</v>
      </c>
      <c r="I47" s="240" t="s">
        <v>1999</v>
      </c>
      <c r="J47" s="242" t="str">
        <f>IFERROR(IF(N47&lt;&gt;"",M47,IF(I47 = PARÂMETROS!$B$5,Q47, IF(I47 = PARÂMETROS!$B$6,R47,IF(I47 = PARÂMETROS!$B$7,S47,IF(I47 = PARÂMETROS!$B$8, T47,"DEFINIR CRITÉRIO"))))),"SEM PREÇO")</f>
        <v>SEM PREÇO</v>
      </c>
      <c r="K47" s="241">
        <f t="shared" si="0"/>
        <v>0</v>
      </c>
      <c r="L47" s="238" t="str">
        <f t="shared" si="1"/>
        <v/>
      </c>
      <c r="M47" s="51" t="e">
        <f>VLOOKUP(N47,#REF!,4,FALSE)</f>
        <v>#REF!</v>
      </c>
      <c r="N47" s="52">
        <v>7348</v>
      </c>
      <c r="O47" s="53" t="s">
        <v>404</v>
      </c>
      <c r="P47" s="235">
        <f t="shared" si="2"/>
        <v>0</v>
      </c>
      <c r="Q47" s="236">
        <f t="shared" si="3"/>
        <v>0</v>
      </c>
      <c r="R47" s="236">
        <f t="shared" si="4"/>
        <v>0</v>
      </c>
      <c r="S47" s="236">
        <f t="shared" si="5"/>
        <v>0</v>
      </c>
      <c r="T47" s="236">
        <f t="shared" si="6"/>
        <v>0</v>
      </c>
      <c r="U47" s="237" t="str">
        <f>IF(AA47 = "", "", IF(OR($H47 = PARÂMETROS!$E$5, $H47 = ""), AA47, IF(OR(AA47 &lt; (1-VLOOKUP($H47,PARÂMETROS!$E:$F,2,FALSE))*$P47, AA47 &gt; (1+VLOOKUP($H47,PARÂMETROS!$E:$F,2,FALSE))*$P47),"",AA47)))</f>
        <v/>
      </c>
      <c r="V47" s="237" t="str">
        <f>IF(AG47 = "", "", IF(OR($H47 = PARÂMETROS!$E$5, $H47 = ""), AG47, IF(OR(AG47 &lt; (1-VLOOKUP($H47,PARÂMETROS!$E:$F,2,FALSE))*$P52, AG47 &gt; (1+VLOOKUP($H47,PARÂMETROS!$E:$F,2,FALSE))*$P47),"",AG47)))</f>
        <v/>
      </c>
      <c r="W47" s="237" t="str">
        <f>IF(AM47 = "", "", IF(OR($H47 = PARÂMETROS!$E$5, $H47 = ""), AM47, IF(OR(AM47 &lt; (1-VLOOKUP($H47,PARÂMETROS!$E:$F,2,FALSE))*$P47, AM47 &gt; (1+VLOOKUP($H47,PARÂMETROS!$E:$F,2,FALSE))*$P47),"",AM47)))</f>
        <v/>
      </c>
      <c r="X47" s="237" t="str">
        <f>IF(AS47 = "", "", IF(OR($H47 = PARÂMETROS!$E$5, $H47 = ""), AS47, IF(OR(AS47 &lt; (1-VLOOKUP($H47,PARÂMETROS!$E:$F,2,FALSE))*$P47, AS47 &gt; (1+VLOOKUP($H47,PARÂMETROS!$E:$F,2,FALSE))*$P47),"",AS47)))</f>
        <v/>
      </c>
      <c r="Y47" s="237" t="str">
        <f>IF(AY47 = "", "", IF(OR($H47 = PARÂMETROS!$E$5, $H47 = ""), AY47, IF(OR(AY47 &lt; (1-VLOOKUP($H47,PARÂMETROS!$E:$F,2,FALSE))*$P47, AY47 &gt; (1+VLOOKUP($H47,PARÂMETROS!$E:$F,2,FALSE))*$P47),"",AY47)))</f>
        <v/>
      </c>
      <c r="Z47" s="237" t="str">
        <f>IF(BE47 = "", "", IF(OR($H47 = PARÂMETROS!$E$5, $H47 = ""), BE47, IF(OR(BE47 &lt; (1-VLOOKUP($H47,PARÂMETROS!$E:$F,2,FALSE))*$P47, BE47 &gt; (1+VLOOKUP($H47,PARÂMETROS!$E:$F,2,FALSE))*$P47),"",BE47)))</f>
        <v/>
      </c>
      <c r="AA47" s="207"/>
      <c r="AB47" s="208"/>
      <c r="AC47" s="206"/>
      <c r="AD47" s="217"/>
      <c r="AE47" s="218"/>
      <c r="AF47" s="220"/>
      <c r="AG47" s="229"/>
      <c r="AH47" s="231"/>
      <c r="AI47" s="206"/>
      <c r="AJ47" s="217"/>
      <c r="AK47" s="218"/>
      <c r="AL47" s="220"/>
      <c r="AM47" s="229"/>
      <c r="AN47" s="231"/>
      <c r="AO47" s="206"/>
      <c r="AP47" s="217"/>
      <c r="AQ47" s="218"/>
      <c r="AR47" s="220"/>
      <c r="AS47" s="229"/>
      <c r="AT47" s="231"/>
      <c r="AU47" s="191"/>
      <c r="AV47" s="217"/>
      <c r="AW47" s="218"/>
      <c r="AX47" s="220"/>
      <c r="AY47" s="229"/>
      <c r="AZ47" s="231"/>
      <c r="BA47" s="209"/>
      <c r="BB47" s="217"/>
      <c r="BC47" s="218"/>
      <c r="BD47" s="220"/>
      <c r="BE47" s="195"/>
      <c r="BF47" s="196"/>
      <c r="BG47" s="194"/>
      <c r="BH47" s="192"/>
      <c r="BI47" s="192"/>
      <c r="BJ47" s="193"/>
    </row>
    <row r="48" spans="1:62" ht="30" x14ac:dyDescent="0.25">
      <c r="A48" s="44" t="s">
        <v>405</v>
      </c>
      <c r="B48" s="45" t="s">
        <v>419</v>
      </c>
      <c r="C48" s="45">
        <v>4</v>
      </c>
      <c r="D48" s="55" t="s">
        <v>138</v>
      </c>
      <c r="E48" s="45" t="s">
        <v>33</v>
      </c>
      <c r="F48" s="46" t="str">
        <f t="shared" si="34"/>
        <v>DEFINIR CRITÉRIO</v>
      </c>
      <c r="G48" s="47" t="str">
        <f t="shared" si="35"/>
        <v>DEFINIR CRITÉRIO</v>
      </c>
      <c r="H48" s="240" t="s">
        <v>2000</v>
      </c>
      <c r="I48" s="240" t="s">
        <v>2001</v>
      </c>
      <c r="J48" s="242" t="str">
        <f>IFERROR(IF(N48&lt;&gt;"",M48,IF(I48 = PARÂMETROS!$B$5,Q48, IF(I48 = PARÂMETROS!$B$6,R48,IF(I48 = PARÂMETROS!$B$7,S48,IF(I48 = PARÂMETROS!$B$8, T48,"DEFINIR CRITÉRIO"))))),"SEM PREÇO")</f>
        <v>DEFINIR CRITÉRIO</v>
      </c>
      <c r="K48" s="241" t="str">
        <f t="shared" si="0"/>
        <v/>
      </c>
      <c r="L48" s="238" t="str">
        <f t="shared" si="1"/>
        <v/>
      </c>
      <c r="M48" s="51"/>
      <c r="N48" s="52"/>
      <c r="O48" s="53"/>
      <c r="P48" s="235">
        <f t="shared" si="2"/>
        <v>22.593333333333334</v>
      </c>
      <c r="Q48" s="236">
        <f t="shared" si="3"/>
        <v>0</v>
      </c>
      <c r="R48" s="236">
        <f t="shared" si="4"/>
        <v>0</v>
      </c>
      <c r="S48" s="236">
        <f t="shared" si="5"/>
        <v>0</v>
      </c>
      <c r="T48" s="236">
        <f t="shared" si="6"/>
        <v>0</v>
      </c>
      <c r="U48" s="237" t="e">
        <f>IF(AA48 = "", "", IF(OR($H48 = PARÂMETROS!$E$5, $H48 = ""), AA48, IF(OR(AA48 &lt; (1-VLOOKUP($H48,PARÂMETROS!$E:$F,2,FALSE))*$P48, AA48 &gt; (1+VLOOKUP($H48,PARÂMETROS!$E:$F,2,FALSE))*$P48),"",AA48)))</f>
        <v>#N/A</v>
      </c>
      <c r="V48" s="237" t="e">
        <f>IF(AG48 = "", "", IF(OR($H48 = PARÂMETROS!$E$5, $H48 = ""), AG48, IF(OR(AG48 &lt; (1-VLOOKUP($H48,PARÂMETROS!$E:$F,2,FALSE))*$P53, AG48 &gt; (1+VLOOKUP($H48,PARÂMETROS!$E:$F,2,FALSE))*$P48),"",AG48)))</f>
        <v>#N/A</v>
      </c>
      <c r="W48" s="237" t="e">
        <f>IF(AM48 = "", "", IF(OR($H48 = PARÂMETROS!$E$5, $H48 = ""), AM48, IF(OR(AM48 &lt; (1-VLOOKUP($H48,PARÂMETROS!$E:$F,2,FALSE))*$P48, AM48 &gt; (1+VLOOKUP($H48,PARÂMETROS!$E:$F,2,FALSE))*$P48),"",AM48)))</f>
        <v>#N/A</v>
      </c>
      <c r="X48" s="237" t="str">
        <f>IF(AS48 = "", "", IF(OR($H48 = PARÂMETROS!$E$5, $H48 = ""), AS48, IF(OR(AS48 &lt; (1-VLOOKUP($H48,PARÂMETROS!$E:$F,2,FALSE))*$P48, AS48 &gt; (1+VLOOKUP($H48,PARÂMETROS!$E:$F,2,FALSE))*$P48),"",AS48)))</f>
        <v/>
      </c>
      <c r="Y48" s="237" t="str">
        <f>IF(AY48 = "", "", IF(OR($H48 = PARÂMETROS!$E$5, $H48 = ""), AY48, IF(OR(AY48 &lt; (1-VLOOKUP($H48,PARÂMETROS!$E:$F,2,FALSE))*$P48, AY48 &gt; (1+VLOOKUP($H48,PARÂMETROS!$E:$F,2,FALSE))*$P48),"",AY48)))</f>
        <v/>
      </c>
      <c r="Z48" s="237" t="str">
        <f>IF(BE48 = "", "", IF(OR($H48 = PARÂMETROS!$E$5, $H48 = ""), BE48, IF(OR(BE48 &lt; (1-VLOOKUP($H48,PARÂMETROS!$E:$F,2,FALSE))*$P48, BE48 &gt; (1+VLOOKUP($H48,PARÂMETROS!$E:$F,2,FALSE))*$P48),"",BE48)))</f>
        <v/>
      </c>
      <c r="AA48" s="207">
        <v>18</v>
      </c>
      <c r="AB48" s="208">
        <v>93</v>
      </c>
      <c r="AC48" s="206" t="e">
        <f>IF(AND(OR(AA48="",AA48=0),OR(AA48="",AB48=0)),"",IF(OR(AA48="",AA48=0),"DEFINIR PREÇO",IF(OR(AB48="",AB48=0),"DEFINIR FORNECEDOR",IF(OR(AA48&lt;&gt;"",AA48&lt;&gt;0),VLOOKUP(AB48,#REF!,2,FALSE)))))</f>
        <v>#REF!</v>
      </c>
      <c r="AD48" s="217" t="s">
        <v>1977</v>
      </c>
      <c r="AE48" s="218">
        <v>44931</v>
      </c>
      <c r="AF48" s="220" t="str">
        <f t="shared" ca="1" si="7"/>
        <v>DESATUALIZADA</v>
      </c>
      <c r="AG48" s="229">
        <v>21.8</v>
      </c>
      <c r="AH48" s="231">
        <v>264</v>
      </c>
      <c r="AI48" s="206" t="e">
        <f>IF(AND(OR(AG48="",AG48=0),OR(AG48="",AH48=0)),"",IF(OR(AG48="",AG48=0),"DEFINIR PREÇO",IF(OR(AH48="",AH48=0),"DEFINIR FORNECEDOR",IF(OR(AG48&lt;&gt;"",AG48&lt;&gt;0),VLOOKUP(AH48,#REF!,2,FALSE)))))</f>
        <v>#REF!</v>
      </c>
      <c r="AJ48" s="217" t="s">
        <v>1977</v>
      </c>
      <c r="AK48" s="218">
        <v>44931</v>
      </c>
      <c r="AL48" s="220" t="str">
        <f t="shared" ca="1" si="8"/>
        <v>DESATUALIZADA</v>
      </c>
      <c r="AM48" s="230">
        <v>27.98</v>
      </c>
      <c r="AN48" s="231">
        <v>1514</v>
      </c>
      <c r="AO48" s="206" t="e">
        <f>IF(AND(OR(AM48="",AM48=0),OR(AM48="",AN48=0)),"",IF(OR(AM48="",AM48=0),"DEFINIR PREÇO",IF(OR(AN48="",AN48=0),"DEFINIR FORNECEDOR",IF(OR(AM48&lt;&gt;"",AM48&lt;&gt;0),VLOOKUP(AN48,#REF!,2,FALSE)))))</f>
        <v>#REF!</v>
      </c>
      <c r="AP48" s="217" t="s">
        <v>1977</v>
      </c>
      <c r="AQ48" s="218">
        <v>44931</v>
      </c>
      <c r="AR48" s="220" t="str">
        <f t="shared" ca="1" si="9"/>
        <v>DESATUALIZADA</v>
      </c>
      <c r="AS48" s="229"/>
      <c r="AT48" s="231"/>
      <c r="AU48" s="191" t="str">
        <f>IF(AND(OR(AS48="",AS48=0),OR(AS48="",AT48=0)),"",IF(OR(AS48="",AS48=0),"DEFINIR PREÇO",IF(OR(AT48="",AT48=0),"DEFINIR FORNECEDOR",IF(OR(AS48&lt;&gt;"",AS48&lt;&gt;0),VLOOKUP(AT48,#REF!,2,FALSE)))))</f>
        <v/>
      </c>
      <c r="AV48" s="217"/>
      <c r="AW48" s="218"/>
      <c r="AX48" s="220" t="str">
        <f t="shared" ca="1" si="10"/>
        <v/>
      </c>
      <c r="AY48" s="229"/>
      <c r="AZ48" s="234"/>
      <c r="BA48" s="209" t="str">
        <f>IF(AND(OR(AY48="",AY48=0),OR(AY48="",AZ48=0)),"",IF(OR(AY48="",AY48=0),"DEFINIR PREÇO",IF(OR(AZ48="",AZ48=0),"DEFINIR FORNECEDOR",IF(OR(AY48&lt;&gt;"",AY48&lt;&gt;0),VLOOKUP(AZ48,#REF!,2,FALSE)))))</f>
        <v/>
      </c>
      <c r="BB48" s="217"/>
      <c r="BC48" s="218"/>
      <c r="BD48" s="220" t="str">
        <f t="shared" ca="1" si="11"/>
        <v/>
      </c>
      <c r="BE48" s="195"/>
      <c r="BF48" s="196"/>
      <c r="BG48" s="191"/>
      <c r="BH48" s="192"/>
      <c r="BI48" s="192"/>
      <c r="BJ48" s="193"/>
    </row>
    <row r="49" spans="1:62" ht="30" x14ac:dyDescent="0.25">
      <c r="A49" s="44" t="s">
        <v>405</v>
      </c>
      <c r="B49" s="45" t="s">
        <v>150</v>
      </c>
      <c r="C49" s="45">
        <v>4</v>
      </c>
      <c r="D49" s="55" t="s">
        <v>144</v>
      </c>
      <c r="E49" s="45" t="s">
        <v>23</v>
      </c>
      <c r="F49" s="46" t="str">
        <f t="shared" si="34"/>
        <v>DEFINIR CRITÉRIO</v>
      </c>
      <c r="G49" s="47" t="str">
        <f t="shared" si="35"/>
        <v>DEFINIR CRITÉRIO</v>
      </c>
      <c r="H49" s="240" t="s">
        <v>2000</v>
      </c>
      <c r="I49" s="240" t="s">
        <v>2001</v>
      </c>
      <c r="J49" s="242" t="str">
        <f>IFERROR(IF(N49&lt;&gt;"",M49,IF(I49 = PARÂMETROS!$B$5,Q49, IF(I49 = PARÂMETROS!$B$6,R49,IF(I49 = PARÂMETROS!$B$7,S49,IF(I49 = PARÂMETROS!$B$8, T49,"DEFINIR CRITÉRIO"))))),"SEM PREÇO")</f>
        <v>DEFINIR CRITÉRIO</v>
      </c>
      <c r="K49" s="241" t="str">
        <f t="shared" si="0"/>
        <v/>
      </c>
      <c r="L49" s="238" t="str">
        <f t="shared" si="1"/>
        <v/>
      </c>
      <c r="M49" s="51"/>
      <c r="N49" s="52"/>
      <c r="O49" s="53"/>
      <c r="P49" s="235">
        <f t="shared" si="2"/>
        <v>5.9633333333333338</v>
      </c>
      <c r="Q49" s="236">
        <f t="shared" si="3"/>
        <v>0</v>
      </c>
      <c r="R49" s="236">
        <f t="shared" si="4"/>
        <v>0</v>
      </c>
      <c r="S49" s="236">
        <f t="shared" si="5"/>
        <v>0</v>
      </c>
      <c r="T49" s="236">
        <f t="shared" si="6"/>
        <v>0</v>
      </c>
      <c r="U49" s="237" t="e">
        <f>IF(AA49 = "", "", IF(OR($H49 = PARÂMETROS!$E$5, $H49 = ""), AA49, IF(OR(AA49 &lt; (1-VLOOKUP($H49,PARÂMETROS!$E:$F,2,FALSE))*$P49, AA49 &gt; (1+VLOOKUP($H49,PARÂMETROS!$E:$F,2,FALSE))*$P49),"",AA49)))</f>
        <v>#N/A</v>
      </c>
      <c r="V49" s="237" t="e">
        <f>IF(AG49 = "", "", IF(OR($H49 = PARÂMETROS!$E$5, $H49 = ""), AG49, IF(OR(AG49 &lt; (1-VLOOKUP($H49,PARÂMETROS!$E:$F,2,FALSE))*$P54, AG49 &gt; (1+VLOOKUP($H49,PARÂMETROS!$E:$F,2,FALSE))*$P49),"",AG49)))</f>
        <v>#N/A</v>
      </c>
      <c r="W49" s="237" t="e">
        <f>IF(AM49 = "", "", IF(OR($H49 = PARÂMETROS!$E$5, $H49 = ""), AM49, IF(OR(AM49 &lt; (1-VLOOKUP($H49,PARÂMETROS!$E:$F,2,FALSE))*$P49, AM49 &gt; (1+VLOOKUP($H49,PARÂMETROS!$E:$F,2,FALSE))*$P49),"",AM49)))</f>
        <v>#N/A</v>
      </c>
      <c r="X49" s="237" t="str">
        <f>IF(AS49 = "", "", IF(OR($H49 = PARÂMETROS!$E$5, $H49 = ""), AS49, IF(OR(AS49 &lt; (1-VLOOKUP($H49,PARÂMETROS!$E:$F,2,FALSE))*$P49, AS49 &gt; (1+VLOOKUP($H49,PARÂMETROS!$E:$F,2,FALSE))*$P49),"",AS49)))</f>
        <v/>
      </c>
      <c r="Y49" s="237" t="str">
        <f>IF(AY49 = "", "", IF(OR($H49 = PARÂMETROS!$E$5, $H49 = ""), AY49, IF(OR(AY49 &lt; (1-VLOOKUP($H49,PARÂMETROS!$E:$F,2,FALSE))*$P49, AY49 &gt; (1+VLOOKUP($H49,PARÂMETROS!$E:$F,2,FALSE))*$P49),"",AY49)))</f>
        <v/>
      </c>
      <c r="Z49" s="237" t="str">
        <f>IF(BE49 = "", "", IF(OR($H49 = PARÂMETROS!$E$5, $H49 = ""), BE49, IF(OR(BE49 &lt; (1-VLOOKUP($H49,PARÂMETROS!$E:$F,2,FALSE))*$P49, BE49 &gt; (1+VLOOKUP($H49,PARÂMETROS!$E:$F,2,FALSE))*$P49),"",BE49)))</f>
        <v/>
      </c>
      <c r="AA49" s="207">
        <v>6.59</v>
      </c>
      <c r="AB49" s="208">
        <v>653</v>
      </c>
      <c r="AC49" s="206" t="e">
        <f>IF(AND(OR(AA49="",AA49=0),OR(AA49="",AB49=0)),"",IF(OR(AA49="",AA49=0),"DEFINIR PREÇO",IF(OR(AB49="",AB49=0),"DEFINIR FORNECEDOR",IF(OR(AA49&lt;&gt;"",AA49&lt;&gt;0),VLOOKUP(AB49,#REF!,2,FALSE)))))</f>
        <v>#REF!</v>
      </c>
      <c r="AD49" s="217" t="s">
        <v>1977</v>
      </c>
      <c r="AE49" s="218">
        <v>44931</v>
      </c>
      <c r="AF49" s="220" t="str">
        <f t="shared" ca="1" si="7"/>
        <v>DESATUALIZADA</v>
      </c>
      <c r="AG49" s="229">
        <v>5.8</v>
      </c>
      <c r="AH49" s="231">
        <v>264</v>
      </c>
      <c r="AI49" s="206" t="e">
        <f>IF(AND(OR(AG49="",AG49=0),OR(AG49="",AH49=0)),"",IF(OR(AG49="",AG49=0),"DEFINIR PREÇO",IF(OR(AH49="",AH49=0),"DEFINIR FORNECEDOR",IF(OR(AG49&lt;&gt;"",AG49&lt;&gt;0),VLOOKUP(AH49,#REF!,2,FALSE)))))</f>
        <v>#REF!</v>
      </c>
      <c r="AJ49" s="217" t="s">
        <v>1977</v>
      </c>
      <c r="AK49" s="218">
        <v>44931</v>
      </c>
      <c r="AL49" s="220" t="str">
        <f t="shared" ca="1" si="8"/>
        <v>DESATUALIZADA</v>
      </c>
      <c r="AM49" s="229">
        <v>5.5</v>
      </c>
      <c r="AN49" s="231">
        <v>732</v>
      </c>
      <c r="AO49" s="206" t="e">
        <f>IF(AND(OR(AM49="",AM49=0),OR(AM49="",AN49=0)),"",IF(OR(AM49="",AM49=0),"DEFINIR PREÇO",IF(OR(AN49="",AN49=0),"DEFINIR FORNECEDOR",IF(OR(AM49&lt;&gt;"",AM49&lt;&gt;0),VLOOKUP(AN49,#REF!,2,FALSE)))))</f>
        <v>#REF!</v>
      </c>
      <c r="AP49" s="217" t="s">
        <v>1977</v>
      </c>
      <c r="AQ49" s="218">
        <v>44931</v>
      </c>
      <c r="AR49" s="220" t="str">
        <f t="shared" ca="1" si="9"/>
        <v>DESATUALIZADA</v>
      </c>
      <c r="AS49" s="229"/>
      <c r="AT49" s="231"/>
      <c r="AU49" s="191" t="str">
        <f>IF(AND(OR(AS49="",AS49=0),OR(AS49="",AT49=0)),"",IF(OR(AS49="",AS49=0),"DEFINIR PREÇO",IF(OR(AT49="",AT49=0),"DEFINIR FORNECEDOR",IF(OR(AS49&lt;&gt;"",AS49&lt;&gt;0),VLOOKUP(AT49,#REF!,2,FALSE)))))</f>
        <v/>
      </c>
      <c r="AV49" s="217"/>
      <c r="AW49" s="218"/>
      <c r="AX49" s="220" t="str">
        <f t="shared" ca="1" si="10"/>
        <v/>
      </c>
      <c r="AY49" s="229"/>
      <c r="AZ49" s="234"/>
      <c r="BA49" s="209" t="str">
        <f>IF(AND(OR(AY49="",AY49=0),OR(AY49="",AZ49=0)),"",IF(OR(AY49="",AY49=0),"DEFINIR PREÇO",IF(OR(AZ49="",AZ49=0),"DEFINIR FORNECEDOR",IF(OR(AY49&lt;&gt;"",AY49&lt;&gt;0),VLOOKUP(AZ49,#REF!,2,FALSE)))))</f>
        <v/>
      </c>
      <c r="BB49" s="217"/>
      <c r="BC49" s="218"/>
      <c r="BD49" s="220" t="str">
        <f t="shared" ca="1" si="11"/>
        <v/>
      </c>
      <c r="BE49" s="195"/>
      <c r="BF49" s="196"/>
      <c r="BG49" s="191"/>
      <c r="BH49" s="192"/>
      <c r="BI49" s="192"/>
      <c r="BJ49" s="193"/>
    </row>
    <row r="50" spans="1:62" ht="30" x14ac:dyDescent="0.25">
      <c r="A50" s="44" t="s">
        <v>405</v>
      </c>
      <c r="B50" s="45" t="s">
        <v>420</v>
      </c>
      <c r="C50" s="45">
        <v>4</v>
      </c>
      <c r="D50" s="55" t="s">
        <v>143</v>
      </c>
      <c r="E50" s="45" t="s">
        <v>23</v>
      </c>
      <c r="F50" s="46" t="str">
        <f t="shared" si="34"/>
        <v>DEFINIR CRITÉRIO</v>
      </c>
      <c r="G50" s="47" t="str">
        <f t="shared" si="35"/>
        <v>DEFINIR CRITÉRIO</v>
      </c>
      <c r="H50" s="240" t="s">
        <v>2000</v>
      </c>
      <c r="I50" s="240" t="s">
        <v>2001</v>
      </c>
      <c r="J50" s="242" t="str">
        <f>IFERROR(IF(N50&lt;&gt;"",M50,IF(I50 = PARÂMETROS!$B$5,Q50, IF(I50 = PARÂMETROS!$B$6,R50,IF(I50 = PARÂMETROS!$B$7,S50,IF(I50 = PARÂMETROS!$B$8, T50,"DEFINIR CRITÉRIO"))))),"SEM PREÇO")</f>
        <v>DEFINIR CRITÉRIO</v>
      </c>
      <c r="K50" s="241" t="str">
        <f t="shared" si="0"/>
        <v/>
      </c>
      <c r="L50" s="238" t="str">
        <f t="shared" si="1"/>
        <v/>
      </c>
      <c r="M50" s="51"/>
      <c r="N50" s="52"/>
      <c r="O50" s="53"/>
      <c r="P50" s="235">
        <f t="shared" si="2"/>
        <v>1.5766666666666669</v>
      </c>
      <c r="Q50" s="236">
        <f t="shared" si="3"/>
        <v>0</v>
      </c>
      <c r="R50" s="236">
        <f t="shared" si="4"/>
        <v>0</v>
      </c>
      <c r="S50" s="236">
        <f t="shared" si="5"/>
        <v>0</v>
      </c>
      <c r="T50" s="236">
        <f t="shared" si="6"/>
        <v>0</v>
      </c>
      <c r="U50" s="237" t="e">
        <f>IF(AA50 = "", "", IF(OR($H50 = PARÂMETROS!$E$5, $H50 = ""), AA50, IF(OR(AA50 &lt; (1-VLOOKUP($H50,PARÂMETROS!$E:$F,2,FALSE))*$P50, AA50 &gt; (1+VLOOKUP($H50,PARÂMETROS!$E:$F,2,FALSE))*$P50),"",AA50)))</f>
        <v>#N/A</v>
      </c>
      <c r="V50" s="237" t="e">
        <f>IF(AG50 = "", "", IF(OR($H50 = PARÂMETROS!$E$5, $H50 = ""), AG50, IF(OR(AG50 &lt; (1-VLOOKUP($H50,PARÂMETROS!$E:$F,2,FALSE))*$P55, AG50 &gt; (1+VLOOKUP($H50,PARÂMETROS!$E:$F,2,FALSE))*$P50),"",AG50)))</f>
        <v>#N/A</v>
      </c>
      <c r="W50" s="237" t="e">
        <f>IF(AM50 = "", "", IF(OR($H50 = PARÂMETROS!$E$5, $H50 = ""), AM50, IF(OR(AM50 &lt; (1-VLOOKUP($H50,PARÂMETROS!$E:$F,2,FALSE))*$P50, AM50 &gt; (1+VLOOKUP($H50,PARÂMETROS!$E:$F,2,FALSE))*$P50),"",AM50)))</f>
        <v>#N/A</v>
      </c>
      <c r="X50" s="237" t="str">
        <f>IF(AS50 = "", "", IF(OR($H50 = PARÂMETROS!$E$5, $H50 = ""), AS50, IF(OR(AS50 &lt; (1-VLOOKUP($H50,PARÂMETROS!$E:$F,2,FALSE))*$P50, AS50 &gt; (1+VLOOKUP($H50,PARÂMETROS!$E:$F,2,FALSE))*$P50),"",AS50)))</f>
        <v/>
      </c>
      <c r="Y50" s="237" t="str">
        <f>IF(AY50 = "", "", IF(OR($H50 = PARÂMETROS!$E$5, $H50 = ""), AY50, IF(OR(AY50 &lt; (1-VLOOKUP($H50,PARÂMETROS!$E:$F,2,FALSE))*$P50, AY50 &gt; (1+VLOOKUP($H50,PARÂMETROS!$E:$F,2,FALSE))*$P50),"",AY50)))</f>
        <v/>
      </c>
      <c r="Z50" s="237" t="str">
        <f>IF(BE50 = "", "", IF(OR($H50 = PARÂMETROS!$E$5, $H50 = ""), BE50, IF(OR(BE50 &lt; (1-VLOOKUP($H50,PARÂMETROS!$E:$F,2,FALSE))*$P50, BE50 &gt; (1+VLOOKUP($H50,PARÂMETROS!$E:$F,2,FALSE))*$P50),"",BE50)))</f>
        <v/>
      </c>
      <c r="AA50" s="207">
        <v>2.0299999999999998</v>
      </c>
      <c r="AB50" s="208">
        <v>653</v>
      </c>
      <c r="AC50" s="206" t="e">
        <f>IF(AND(OR(AA50="",AA50=0),OR(AA50="",AB50=0)),"",IF(OR(AA50="",AA50=0),"DEFINIR PREÇO",IF(OR(AB50="",AB50=0),"DEFINIR FORNECEDOR",IF(OR(AA50&lt;&gt;"",AA50&lt;&gt;0),VLOOKUP(AB50,#REF!,2,FALSE)))))</f>
        <v>#REF!</v>
      </c>
      <c r="AD50" s="217" t="s">
        <v>1977</v>
      </c>
      <c r="AE50" s="218">
        <v>44931</v>
      </c>
      <c r="AF50" s="220" t="str">
        <f t="shared" ca="1" si="7"/>
        <v>DESATUALIZADA</v>
      </c>
      <c r="AG50" s="229">
        <v>1.8</v>
      </c>
      <c r="AH50" s="231">
        <v>264</v>
      </c>
      <c r="AI50" s="206" t="e">
        <f>IF(AND(OR(AG50="",AG50=0),OR(AG50="",AH50=0)),"",IF(OR(AG50="",AG50=0),"DEFINIR PREÇO",IF(OR(AH50="",AH50=0),"DEFINIR FORNECEDOR",IF(OR(AG50&lt;&gt;"",AG50&lt;&gt;0),VLOOKUP(AH50,#REF!,2,FALSE)))))</f>
        <v>#REF!</v>
      </c>
      <c r="AJ50" s="217" t="s">
        <v>1977</v>
      </c>
      <c r="AK50" s="218">
        <v>44931</v>
      </c>
      <c r="AL50" s="220" t="str">
        <f t="shared" ca="1" si="8"/>
        <v>DESATUALIZADA</v>
      </c>
      <c r="AM50" s="229">
        <v>0.9</v>
      </c>
      <c r="AN50" s="231">
        <v>732</v>
      </c>
      <c r="AO50" s="206" t="e">
        <f>IF(AND(OR(AM50="",AM50=0),OR(AM50="",AN50=0)),"",IF(OR(AM50="",AM50=0),"DEFINIR PREÇO",IF(OR(AN50="",AN50=0),"DEFINIR FORNECEDOR",IF(OR(AM50&lt;&gt;"",AM50&lt;&gt;0),VLOOKUP(AN50,#REF!,2,FALSE)))))</f>
        <v>#REF!</v>
      </c>
      <c r="AP50" s="217" t="s">
        <v>1977</v>
      </c>
      <c r="AQ50" s="218">
        <v>44931</v>
      </c>
      <c r="AR50" s="220" t="str">
        <f t="shared" ca="1" si="9"/>
        <v>DESATUALIZADA</v>
      </c>
      <c r="AS50" s="229"/>
      <c r="AT50" s="231"/>
      <c r="AU50" s="191" t="str">
        <f>IF(AND(OR(AS50="",AS50=0),OR(AS50="",AT50=0)),"",IF(OR(AS50="",AS50=0),"DEFINIR PREÇO",IF(OR(AT50="",AT50=0),"DEFINIR FORNECEDOR",IF(OR(AS50&lt;&gt;"",AS50&lt;&gt;0),VLOOKUP(AT50,#REF!,2,FALSE)))))</f>
        <v/>
      </c>
      <c r="AV50" s="217"/>
      <c r="AW50" s="218"/>
      <c r="AX50" s="220" t="str">
        <f t="shared" ca="1" si="10"/>
        <v/>
      </c>
      <c r="AY50" s="229"/>
      <c r="AZ50" s="234"/>
      <c r="BA50" s="209" t="str">
        <f>IF(AND(OR(AY50="",AY50=0),OR(AY50="",AZ50=0)),"",IF(OR(AY50="",AY50=0),"DEFINIR PREÇO",IF(OR(AZ50="",AZ50=0),"DEFINIR FORNECEDOR",IF(OR(AY50&lt;&gt;"",AY50&lt;&gt;0),VLOOKUP(AZ50,#REF!,2,FALSE)))))</f>
        <v/>
      </c>
      <c r="BB50" s="217"/>
      <c r="BC50" s="218"/>
      <c r="BD50" s="220" t="str">
        <f t="shared" ca="1" si="11"/>
        <v/>
      </c>
      <c r="BE50" s="195"/>
      <c r="BF50" s="196"/>
      <c r="BG50" s="191"/>
      <c r="BH50" s="192"/>
      <c r="BI50" s="192"/>
      <c r="BJ50" s="193"/>
    </row>
    <row r="51" spans="1:62" ht="30" x14ac:dyDescent="0.25">
      <c r="A51" s="44" t="s">
        <v>405</v>
      </c>
      <c r="B51" s="45" t="s">
        <v>151</v>
      </c>
      <c r="C51" s="45">
        <v>4</v>
      </c>
      <c r="D51" s="55" t="s">
        <v>139</v>
      </c>
      <c r="E51" s="45" t="s">
        <v>23</v>
      </c>
      <c r="F51" s="46" t="str">
        <f t="shared" si="34"/>
        <v>DEFINIR CRITÉRIO</v>
      </c>
      <c r="G51" s="47" t="str">
        <f t="shared" si="35"/>
        <v>DEFINIR CRITÉRIO</v>
      </c>
      <c r="H51" s="240" t="s">
        <v>2000</v>
      </c>
      <c r="I51" s="240" t="s">
        <v>2001</v>
      </c>
      <c r="J51" s="242" t="str">
        <f>IFERROR(IF(N51&lt;&gt;"",M51,IF(I51 = PARÂMETROS!$B$5,Q51, IF(I51 = PARÂMETROS!$B$6,R51,IF(I51 = PARÂMETROS!$B$7,S51,IF(I51 = PARÂMETROS!$B$8, T51,"DEFINIR CRITÉRIO"))))),"SEM PREÇO")</f>
        <v>DEFINIR CRITÉRIO</v>
      </c>
      <c r="K51" s="241" t="str">
        <f t="shared" si="0"/>
        <v/>
      </c>
      <c r="L51" s="238" t="str">
        <f t="shared" si="1"/>
        <v/>
      </c>
      <c r="M51" s="51"/>
      <c r="N51" s="52"/>
      <c r="O51" s="53"/>
      <c r="P51" s="235">
        <f t="shared" si="2"/>
        <v>1.6666666666666667</v>
      </c>
      <c r="Q51" s="236">
        <f t="shared" si="3"/>
        <v>0</v>
      </c>
      <c r="R51" s="236">
        <f t="shared" si="4"/>
        <v>0</v>
      </c>
      <c r="S51" s="236">
        <f t="shared" si="5"/>
        <v>0</v>
      </c>
      <c r="T51" s="236">
        <f t="shared" si="6"/>
        <v>0</v>
      </c>
      <c r="U51" s="237" t="e">
        <f>IF(AA51 = "", "", IF(OR($H51 = PARÂMETROS!$E$5, $H51 = ""), AA51, IF(OR(AA51 &lt; (1-VLOOKUP($H51,PARÂMETROS!$E:$F,2,FALSE))*$P51, AA51 &gt; (1+VLOOKUP($H51,PARÂMETROS!$E:$F,2,FALSE))*$P51),"",AA51)))</f>
        <v>#N/A</v>
      </c>
      <c r="V51" s="237" t="e">
        <f>IF(AG51 = "", "", IF(OR($H51 = PARÂMETROS!$E$5, $H51 = ""), AG51, IF(OR(AG51 &lt; (1-VLOOKUP($H51,PARÂMETROS!$E:$F,2,FALSE))*$P56, AG51 &gt; (1+VLOOKUP($H51,PARÂMETROS!$E:$F,2,FALSE))*$P51),"",AG51)))</f>
        <v>#N/A</v>
      </c>
      <c r="W51" s="237" t="e">
        <f>IF(AM51 = "", "", IF(OR($H51 = PARÂMETROS!$E$5, $H51 = ""), AM51, IF(OR(AM51 &lt; (1-VLOOKUP($H51,PARÂMETROS!$E:$F,2,FALSE))*$P51, AM51 &gt; (1+VLOOKUP($H51,PARÂMETROS!$E:$F,2,FALSE))*$P51),"",AM51)))</f>
        <v>#N/A</v>
      </c>
      <c r="X51" s="237" t="str">
        <f>IF(AS51 = "", "", IF(OR($H51 = PARÂMETROS!$E$5, $H51 = ""), AS51, IF(OR(AS51 &lt; (1-VLOOKUP($H51,PARÂMETROS!$E:$F,2,FALSE))*$P51, AS51 &gt; (1+VLOOKUP($H51,PARÂMETROS!$E:$F,2,FALSE))*$P51),"",AS51)))</f>
        <v/>
      </c>
      <c r="Y51" s="237" t="str">
        <f>IF(AY51 = "", "", IF(OR($H51 = PARÂMETROS!$E$5, $H51 = ""), AY51, IF(OR(AY51 &lt; (1-VLOOKUP($H51,PARÂMETROS!$E:$F,2,FALSE))*$P51, AY51 &gt; (1+VLOOKUP($H51,PARÂMETROS!$E:$F,2,FALSE))*$P51),"",AY51)))</f>
        <v/>
      </c>
      <c r="Z51" s="237" t="str">
        <f>IF(BE51 = "", "", IF(OR($H51 = PARÂMETROS!$E$5, $H51 = ""), BE51, IF(OR(BE51 &lt; (1-VLOOKUP($H51,PARÂMETROS!$E:$F,2,FALSE))*$P51, BE51 &gt; (1+VLOOKUP($H51,PARÂMETROS!$E:$F,2,FALSE))*$P51),"",BE51)))</f>
        <v/>
      </c>
      <c r="AA51" s="207">
        <v>2.2000000000000002</v>
      </c>
      <c r="AB51" s="208">
        <v>653</v>
      </c>
      <c r="AC51" s="206" t="e">
        <f>IF(AND(OR(AA51="",AA51=0),OR(AA51="",AB51=0)),"",IF(OR(AA51="",AA51=0),"DEFINIR PREÇO",IF(OR(AB51="",AB51=0),"DEFINIR FORNECEDOR",IF(OR(AA51&lt;&gt;"",AA51&lt;&gt;0),VLOOKUP(AB51,#REF!,2,FALSE)))))</f>
        <v>#REF!</v>
      </c>
      <c r="AD51" s="217" t="s">
        <v>1977</v>
      </c>
      <c r="AE51" s="218">
        <v>44931</v>
      </c>
      <c r="AF51" s="220" t="str">
        <f t="shared" ca="1" si="7"/>
        <v>DESATUALIZADA</v>
      </c>
      <c r="AG51" s="229">
        <v>1.3</v>
      </c>
      <c r="AH51" s="231">
        <v>1514</v>
      </c>
      <c r="AI51" s="206" t="e">
        <f>IF(AND(OR(AG51="",AG51=0),OR(AG51="",AH51=0)),"",IF(OR(AG51="",AG51=0),"DEFINIR PREÇO",IF(OR(AH51="",AH51=0),"DEFINIR FORNECEDOR",IF(OR(AG51&lt;&gt;"",AG51&lt;&gt;0),VLOOKUP(AH51,#REF!,2,FALSE)))))</f>
        <v>#REF!</v>
      </c>
      <c r="AJ51" s="217" t="s">
        <v>1977</v>
      </c>
      <c r="AK51" s="218">
        <v>44931</v>
      </c>
      <c r="AL51" s="220" t="str">
        <f t="shared" ca="1" si="8"/>
        <v>DESATUALIZADA</v>
      </c>
      <c r="AM51" s="229">
        <v>1.5</v>
      </c>
      <c r="AN51" s="231">
        <v>732</v>
      </c>
      <c r="AO51" s="206" t="e">
        <f>IF(AND(OR(AM51="",AM51=0),OR(AM51="",AN51=0)),"",IF(OR(AM51="",AM51=0),"DEFINIR PREÇO",IF(OR(AN51="",AN51=0),"DEFINIR FORNECEDOR",IF(OR(AM51&lt;&gt;"",AM51&lt;&gt;0),VLOOKUP(AN51,#REF!,2,FALSE)))))</f>
        <v>#REF!</v>
      </c>
      <c r="AP51" s="217" t="s">
        <v>1977</v>
      </c>
      <c r="AQ51" s="218">
        <v>44931</v>
      </c>
      <c r="AR51" s="220" t="str">
        <f t="shared" ca="1" si="9"/>
        <v>DESATUALIZADA</v>
      </c>
      <c r="AS51" s="229"/>
      <c r="AT51" s="231"/>
      <c r="AU51" s="191" t="str">
        <f>IF(AND(OR(AS51="",AS51=0),OR(AS51="",AT51=0)),"",IF(OR(AS51="",AS51=0),"DEFINIR PREÇO",IF(OR(AT51="",AT51=0),"DEFINIR FORNECEDOR",IF(OR(AS51&lt;&gt;"",AS51&lt;&gt;0),VLOOKUP(AT51,#REF!,2,FALSE)))))</f>
        <v/>
      </c>
      <c r="AV51" s="217"/>
      <c r="AW51" s="218"/>
      <c r="AX51" s="220" t="str">
        <f t="shared" ca="1" si="10"/>
        <v/>
      </c>
      <c r="AY51" s="229"/>
      <c r="AZ51" s="234"/>
      <c r="BA51" s="209" t="str">
        <f>IF(AND(OR(AY51="",AY51=0),OR(AY51="",AZ51=0)),"",IF(OR(AY51="",AY51=0),"DEFINIR PREÇO",IF(OR(AZ51="",AZ51=0),"DEFINIR FORNECEDOR",IF(OR(AY51&lt;&gt;"",AY51&lt;&gt;0),VLOOKUP(AZ51,#REF!,2,FALSE)))))</f>
        <v/>
      </c>
      <c r="BB51" s="217"/>
      <c r="BC51" s="218"/>
      <c r="BD51" s="220" t="str">
        <f t="shared" ca="1" si="11"/>
        <v/>
      </c>
      <c r="BE51" s="195"/>
      <c r="BF51" s="196"/>
      <c r="BG51" s="191"/>
      <c r="BH51" s="192"/>
      <c r="BI51" s="192"/>
      <c r="BJ51" s="193"/>
    </row>
    <row r="52" spans="1:62" ht="33" customHeight="1" x14ac:dyDescent="0.25">
      <c r="A52" s="44" t="s">
        <v>405</v>
      </c>
      <c r="B52" s="45" t="s">
        <v>153</v>
      </c>
      <c r="C52" s="45">
        <v>4</v>
      </c>
      <c r="D52" s="55" t="s">
        <v>148</v>
      </c>
      <c r="E52" s="45" t="s">
        <v>31</v>
      </c>
      <c r="F52" s="46" t="str">
        <f t="shared" si="34"/>
        <v>DEFINIR CRITÉRIO</v>
      </c>
      <c r="G52" s="47" t="str">
        <f t="shared" si="35"/>
        <v>DEFINIR CRITÉRIO</v>
      </c>
      <c r="H52" s="240" t="s">
        <v>2000</v>
      </c>
      <c r="I52" s="240" t="s">
        <v>1999</v>
      </c>
      <c r="J52" s="242" t="str">
        <f>IFERROR(IF(N52&lt;&gt;"",M52,IF(I52 = PARÂMETROS!$B$5,Q52, IF(I52 = PARÂMETROS!$B$6,R52,IF(I52 = PARÂMETROS!$B$7,S52,IF(I52 = PARÂMETROS!$B$8, T52,"DEFINIR CRITÉRIO"))))),"SEM PREÇO")</f>
        <v>DEFINIR CRITÉRIO</v>
      </c>
      <c r="K52" s="241" t="str">
        <f t="shared" si="0"/>
        <v/>
      </c>
      <c r="L52" s="238" t="str">
        <f t="shared" si="1"/>
        <v/>
      </c>
      <c r="M52" s="51"/>
      <c r="N52" s="52"/>
      <c r="O52" s="53"/>
      <c r="P52" s="235">
        <f t="shared" si="2"/>
        <v>6.9366666666666674</v>
      </c>
      <c r="Q52" s="236">
        <f t="shared" si="3"/>
        <v>0</v>
      </c>
      <c r="R52" s="236">
        <f t="shared" si="4"/>
        <v>0</v>
      </c>
      <c r="S52" s="236">
        <f t="shared" si="5"/>
        <v>0</v>
      </c>
      <c r="T52" s="236">
        <f t="shared" si="6"/>
        <v>0</v>
      </c>
      <c r="U52" s="237" t="e">
        <f>IF(AA52 = "", "", IF(OR($H52 = PARÂMETROS!$E$5, $H52 = ""), AA52, IF(OR(AA52 &lt; (1-VLOOKUP($H52,PARÂMETROS!$E:$F,2,FALSE))*$P52, AA52 &gt; (1+VLOOKUP($H52,PARÂMETROS!$E:$F,2,FALSE))*$P52),"",AA52)))</f>
        <v>#N/A</v>
      </c>
      <c r="V52" s="237" t="e">
        <f>IF(AG52 = "", "", IF(OR($H52 = PARÂMETROS!$E$5, $H52 = ""), AG52, IF(OR(AG52 &lt; (1-VLOOKUP($H52,PARÂMETROS!$E:$F,2,FALSE))*$P57, AG52 &gt; (1+VLOOKUP($H52,PARÂMETROS!$E:$F,2,FALSE))*$P52),"",AG52)))</f>
        <v>#N/A</v>
      </c>
      <c r="W52" s="237" t="e">
        <f>IF(AM52 = "", "", IF(OR($H52 = PARÂMETROS!$E$5, $H52 = ""), AM52, IF(OR(AM52 &lt; (1-VLOOKUP($H52,PARÂMETROS!$E:$F,2,FALSE))*$P52, AM52 &gt; (1+VLOOKUP($H52,PARÂMETROS!$E:$F,2,FALSE))*$P52),"",AM52)))</f>
        <v>#N/A</v>
      </c>
      <c r="X52" s="237" t="str">
        <f>IF(AS52 = "", "", IF(OR($H52 = PARÂMETROS!$E$5, $H52 = ""), AS52, IF(OR(AS52 &lt; (1-VLOOKUP($H52,PARÂMETROS!$E:$F,2,FALSE))*$P52, AS52 &gt; (1+VLOOKUP($H52,PARÂMETROS!$E:$F,2,FALSE))*$P52),"",AS52)))</f>
        <v/>
      </c>
      <c r="Y52" s="237" t="str">
        <f>IF(AY52 = "", "", IF(OR($H52 = PARÂMETROS!$E$5, $H52 = ""), AY52, IF(OR(AY52 &lt; (1-VLOOKUP($H52,PARÂMETROS!$E:$F,2,FALSE))*$P52, AY52 &gt; (1+VLOOKUP($H52,PARÂMETROS!$E:$F,2,FALSE))*$P52),"",AY52)))</f>
        <v/>
      </c>
      <c r="Z52" s="237" t="str">
        <f>IF(BE52 = "", "", IF(OR($H52 = PARÂMETROS!$E$5, $H52 = ""), BE52, IF(OR(BE52 &lt; (1-VLOOKUP($H52,PARÂMETROS!$E:$F,2,FALSE))*$P52, BE52 &gt; (1+VLOOKUP($H52,PARÂMETROS!$E:$F,2,FALSE))*$P52),"",BE52)))</f>
        <v/>
      </c>
      <c r="AA52" s="207">
        <v>6.24</v>
      </c>
      <c r="AB52" s="208">
        <v>1862</v>
      </c>
      <c r="AC52" s="206" t="e">
        <f>IF(AND(OR(AA52="",AA52=0),OR(AA52="",AB52=0)),"",IF(OR(AA52="",AA52=0),"DEFINIR PREÇO",IF(OR(AB52="",AB52=0),"DEFINIR FORNECEDOR",IF(OR(AA52&lt;&gt;"",AA52&lt;&gt;0),VLOOKUP(AB52,#REF!,2,FALSE)))))</f>
        <v>#REF!</v>
      </c>
      <c r="AD52" s="217" t="s">
        <v>1977</v>
      </c>
      <c r="AE52" s="218">
        <v>44931</v>
      </c>
      <c r="AF52" s="220" t="str">
        <f t="shared" ca="1" si="7"/>
        <v>DESATUALIZADA</v>
      </c>
      <c r="AG52" s="229">
        <v>7.58</v>
      </c>
      <c r="AH52" s="231">
        <v>1863</v>
      </c>
      <c r="AI52" s="206" t="e">
        <f>IF(AND(OR(AG52="",AG52=0),OR(AG52="",AH52=0)),"",IF(OR(AG52="",AG52=0),"DEFINIR PREÇO",IF(OR(AH52="",AH52=0),"DEFINIR FORNECEDOR",IF(OR(AG52&lt;&gt;"",AG52&lt;&gt;0),VLOOKUP(AH52,#REF!,2,FALSE)))))</f>
        <v>#REF!</v>
      </c>
      <c r="AJ52" s="217" t="s">
        <v>1977</v>
      </c>
      <c r="AK52" s="218">
        <v>44931</v>
      </c>
      <c r="AL52" s="220" t="str">
        <f t="shared" ca="1" si="8"/>
        <v>DESATUALIZADA</v>
      </c>
      <c r="AM52" s="229">
        <v>6.99</v>
      </c>
      <c r="AN52" s="231">
        <v>662</v>
      </c>
      <c r="AO52" s="206" t="e">
        <f>IF(AND(OR(AM52="",AM52=0),OR(AM52="",AN52=0)),"",IF(OR(AM52="",AM52=0),"DEFINIR PREÇO",IF(OR(AN52="",AN52=0),"DEFINIR FORNECEDOR",IF(OR(AM52&lt;&gt;"",AM52&lt;&gt;0),VLOOKUP(AN52,#REF!,2,FALSE)))))</f>
        <v>#REF!</v>
      </c>
      <c r="AP52" s="217" t="s">
        <v>1977</v>
      </c>
      <c r="AQ52" s="218">
        <v>44931</v>
      </c>
      <c r="AR52" s="220" t="str">
        <f t="shared" ca="1" si="9"/>
        <v>DESATUALIZADA</v>
      </c>
      <c r="AS52" s="229"/>
      <c r="AT52" s="231"/>
      <c r="AU52" s="191" t="str">
        <f>IF(AND(OR(AS52="",AS52=0),OR(AS52="",AT52=0)),"",IF(OR(AS52="",AS52=0),"DEFINIR PREÇO",IF(OR(AT52="",AT52=0),"DEFINIR FORNECEDOR",IF(OR(AS52&lt;&gt;"",AS52&lt;&gt;0),VLOOKUP(AT52,#REF!,2,FALSE)))))</f>
        <v/>
      </c>
      <c r="AV52" s="217"/>
      <c r="AW52" s="218"/>
      <c r="AX52" s="220" t="str">
        <f t="shared" ca="1" si="10"/>
        <v/>
      </c>
      <c r="AY52" s="229"/>
      <c r="AZ52" s="234"/>
      <c r="BA52" s="209" t="str">
        <f>IF(AND(OR(AY52="",AY52=0),OR(AY52="",AZ52=0)),"",IF(OR(AY52="",AY52=0),"DEFINIR PREÇO",IF(OR(AZ52="",AZ52=0),"DEFINIR FORNECEDOR",IF(OR(AY52&lt;&gt;"",AY52&lt;&gt;0),VLOOKUP(AZ52,#REF!,2,FALSE)))))</f>
        <v/>
      </c>
      <c r="BB52" s="217"/>
      <c r="BC52" s="218"/>
      <c r="BD52" s="220" t="str">
        <f t="shared" ca="1" si="11"/>
        <v/>
      </c>
      <c r="BE52" s="195"/>
      <c r="BF52" s="196"/>
      <c r="BG52" s="194"/>
      <c r="BH52" s="192"/>
      <c r="BI52" s="192"/>
      <c r="BJ52" s="193"/>
    </row>
    <row r="53" spans="1:62" ht="30" x14ac:dyDescent="0.25">
      <c r="A53" s="44" t="s">
        <v>405</v>
      </c>
      <c r="B53" s="45" t="s">
        <v>1089</v>
      </c>
      <c r="C53" s="45">
        <v>4</v>
      </c>
      <c r="D53" s="55" t="s">
        <v>1090</v>
      </c>
      <c r="E53" s="45" t="s">
        <v>33</v>
      </c>
      <c r="F53" s="46" t="str">
        <f t="shared" ref="F53" si="36">J53</f>
        <v>DEFINIR CRITÉRIO</v>
      </c>
      <c r="G53" s="47" t="str">
        <f t="shared" ref="G53" si="37">J53</f>
        <v>DEFINIR CRITÉRIO</v>
      </c>
      <c r="H53" s="240" t="s">
        <v>2000</v>
      </c>
      <c r="I53" s="240" t="s">
        <v>2001</v>
      </c>
      <c r="J53" s="242" t="str">
        <f>IFERROR(IF(N53&lt;&gt;"",M53,IF(I53 = PARÂMETROS!$B$5,Q53, IF(I53 = PARÂMETROS!$B$6,R53,IF(I53 = PARÂMETROS!$B$7,S53,IF(I53 = PARÂMETROS!$B$8, T53,"DEFINIR CRITÉRIO"))))),"SEM PREÇO")</f>
        <v>DEFINIR CRITÉRIO</v>
      </c>
      <c r="K53" s="241" t="str">
        <f t="shared" si="0"/>
        <v/>
      </c>
      <c r="L53" s="238" t="str">
        <f t="shared" si="1"/>
        <v/>
      </c>
      <c r="M53" s="51"/>
      <c r="N53" s="52"/>
      <c r="O53" s="53"/>
      <c r="P53" s="235">
        <f t="shared" si="2"/>
        <v>152.02333333333334</v>
      </c>
      <c r="Q53" s="236">
        <f t="shared" si="3"/>
        <v>0</v>
      </c>
      <c r="R53" s="236">
        <f t="shared" si="4"/>
        <v>0</v>
      </c>
      <c r="S53" s="236">
        <f t="shared" si="5"/>
        <v>0</v>
      </c>
      <c r="T53" s="236">
        <f t="shared" si="6"/>
        <v>0</v>
      </c>
      <c r="U53" s="237" t="e">
        <f>IF(AA53 = "", "", IF(OR($H53 = PARÂMETROS!$E$5, $H53 = ""), AA53, IF(OR(AA53 &lt; (1-VLOOKUP($H53,PARÂMETROS!$E:$F,2,FALSE))*$P53, AA53 &gt; (1+VLOOKUP($H53,PARÂMETROS!$E:$F,2,FALSE))*$P53),"",AA53)))</f>
        <v>#N/A</v>
      </c>
      <c r="V53" s="237" t="e">
        <f>IF(AG53 = "", "", IF(OR($H53 = PARÂMETROS!$E$5, $H53 = ""), AG53, IF(OR(AG53 &lt; (1-VLOOKUP($H53,PARÂMETROS!$E:$F,2,FALSE))*$P58, AG53 &gt; (1+VLOOKUP($H53,PARÂMETROS!$E:$F,2,FALSE))*$P53),"",AG53)))</f>
        <v>#N/A</v>
      </c>
      <c r="W53" s="237" t="e">
        <f>IF(AM53 = "", "", IF(OR($H53 = PARÂMETROS!$E$5, $H53 = ""), AM53, IF(OR(AM53 &lt; (1-VLOOKUP($H53,PARÂMETROS!$E:$F,2,FALSE))*$P53, AM53 &gt; (1+VLOOKUP($H53,PARÂMETROS!$E:$F,2,FALSE))*$P53),"",AM53)))</f>
        <v>#N/A</v>
      </c>
      <c r="X53" s="237" t="str">
        <f>IF(AS53 = "", "", IF(OR($H53 = PARÂMETROS!$E$5, $H53 = ""), AS53, IF(OR(AS53 &lt; (1-VLOOKUP($H53,PARÂMETROS!$E:$F,2,FALSE))*$P53, AS53 &gt; (1+VLOOKUP($H53,PARÂMETROS!$E:$F,2,FALSE))*$P53),"",AS53)))</f>
        <v/>
      </c>
      <c r="Y53" s="237" t="str">
        <f>IF(AY53 = "", "", IF(OR($H53 = PARÂMETROS!$E$5, $H53 = ""), AY53, IF(OR(AY53 &lt; (1-VLOOKUP($H53,PARÂMETROS!$E:$F,2,FALSE))*$P53, AY53 &gt; (1+VLOOKUP($H53,PARÂMETROS!$E:$F,2,FALSE))*$P53),"",AY53)))</f>
        <v/>
      </c>
      <c r="Z53" s="237" t="str">
        <f>IF(BE53 = "", "", IF(OR($H53 = PARÂMETROS!$E$5, $H53 = ""), BE53, IF(OR(BE53 &lt; (1-VLOOKUP($H53,PARÂMETROS!$E:$F,2,FALSE))*$P53, BE53 &gt; (1+VLOOKUP($H53,PARÂMETROS!$E:$F,2,FALSE))*$P53),"",BE53)))</f>
        <v/>
      </c>
      <c r="AA53" s="207">
        <v>124.97</v>
      </c>
      <c r="AB53" s="208">
        <v>2168</v>
      </c>
      <c r="AC53" s="206" t="e">
        <f>IF(AND(OR(AA53="",AA53=0),OR(AA53="",AB53=0)),"",IF(OR(AA53="",AA53=0),"DEFINIR PREÇO",IF(OR(AB53="",AB53=0),"DEFINIR FORNECEDOR",IF(OR(AA53&lt;&gt;"",AA53&lt;&gt;0),VLOOKUP(AB53,#REF!,2,FALSE)))))</f>
        <v>#REF!</v>
      </c>
      <c r="AD53" s="217" t="s">
        <v>1977</v>
      </c>
      <c r="AE53" s="218">
        <v>44929</v>
      </c>
      <c r="AF53" s="220" t="str">
        <f t="shared" ca="1" si="7"/>
        <v>DESATUALIZADA</v>
      </c>
      <c r="AG53" s="229">
        <v>134.16</v>
      </c>
      <c r="AH53" s="231">
        <v>1863</v>
      </c>
      <c r="AI53" s="206" t="e">
        <f>IF(AND(OR(AG53="",AG53=0),OR(AG53="",AH53=0)),"",IF(OR(AG53="",AG53=0),"DEFINIR PREÇO",IF(OR(AH53="",AH53=0),"DEFINIR FORNECEDOR",IF(OR(AG53&lt;&gt;"",AG53&lt;&gt;0),VLOOKUP(AH53,#REF!,2,FALSE)))))</f>
        <v>#REF!</v>
      </c>
      <c r="AJ53" s="217" t="s">
        <v>1977</v>
      </c>
      <c r="AK53" s="218">
        <v>44929</v>
      </c>
      <c r="AL53" s="220" t="str">
        <f t="shared" ca="1" si="8"/>
        <v>DESATUALIZADA</v>
      </c>
      <c r="AM53" s="229">
        <v>196.94</v>
      </c>
      <c r="AN53" s="231">
        <v>264</v>
      </c>
      <c r="AO53" s="206" t="e">
        <f>IF(AND(OR(AM53="",AM53=0),OR(AM53="",AN53=0)),"",IF(OR(AM53="",AM53=0),"DEFINIR PREÇO",IF(OR(AN53="",AN53=0),"DEFINIR FORNECEDOR",IF(OR(AM53&lt;&gt;"",AM53&lt;&gt;0),VLOOKUP(AN53,#REF!,2,FALSE)))))</f>
        <v>#REF!</v>
      </c>
      <c r="AP53" s="217" t="s">
        <v>1977</v>
      </c>
      <c r="AQ53" s="218">
        <v>44929</v>
      </c>
      <c r="AR53" s="220" t="str">
        <f t="shared" ca="1" si="9"/>
        <v>DESATUALIZADA</v>
      </c>
      <c r="AS53" s="229"/>
      <c r="AT53" s="231"/>
      <c r="AU53" s="191" t="str">
        <f>IF(AND(OR(AS53="",AS53=0),OR(AS53="",AT53=0)),"",IF(OR(AS53="",AS53=0),"DEFINIR PREÇO",IF(OR(AT53="",AT53=0),"DEFINIR FORNECEDOR",IF(OR(AS53&lt;&gt;"",AS53&lt;&gt;0),VLOOKUP(AT53,#REF!,2,FALSE)))))</f>
        <v/>
      </c>
      <c r="AV53" s="217"/>
      <c r="AW53" s="218"/>
      <c r="AX53" s="220" t="str">
        <f t="shared" ca="1" si="10"/>
        <v/>
      </c>
      <c r="AY53" s="229"/>
      <c r="AZ53" s="234"/>
      <c r="BA53" s="209" t="str">
        <f>IF(AND(OR(AY53="",AY53=0),OR(AY53="",AZ53=0)),"",IF(OR(AY53="",AY53=0),"DEFINIR PREÇO",IF(OR(AZ53="",AZ53=0),"DEFINIR FORNECEDOR",IF(OR(AY53&lt;&gt;"",AY53&lt;&gt;0),VLOOKUP(AZ53,#REF!,2,FALSE)))))</f>
        <v/>
      </c>
      <c r="BB53" s="217"/>
      <c r="BC53" s="218"/>
      <c r="BD53" s="220" t="str">
        <f t="shared" ca="1" si="11"/>
        <v/>
      </c>
      <c r="BE53" s="195"/>
      <c r="BF53" s="196"/>
      <c r="BG53" s="194"/>
      <c r="BH53" s="192"/>
      <c r="BI53" s="192"/>
      <c r="BJ53" s="193"/>
    </row>
    <row r="54" spans="1:62" ht="30" x14ac:dyDescent="0.25">
      <c r="A54" s="44" t="s">
        <v>405</v>
      </c>
      <c r="B54" s="45" t="s">
        <v>459</v>
      </c>
      <c r="C54" s="45">
        <v>4</v>
      </c>
      <c r="D54" s="55" t="s">
        <v>460</v>
      </c>
      <c r="E54" s="45" t="s">
        <v>31</v>
      </c>
      <c r="F54" s="46" t="str">
        <f t="shared" si="34"/>
        <v>DEFINIR CRITÉRIO</v>
      </c>
      <c r="G54" s="47" t="str">
        <f t="shared" si="35"/>
        <v>DEFINIR CRITÉRIO</v>
      </c>
      <c r="H54" s="240" t="s">
        <v>2000</v>
      </c>
      <c r="I54" s="240" t="s">
        <v>2001</v>
      </c>
      <c r="J54" s="242" t="str">
        <f>IFERROR(IF(N54&lt;&gt;"",M54,IF(I54 = PARÂMETROS!$B$5,Q54, IF(I54 = PARÂMETROS!$B$6,R54,IF(I54 = PARÂMETROS!$B$7,S54,IF(I54 = PARÂMETROS!$B$8, T54,"DEFINIR CRITÉRIO"))))),"SEM PREÇO")</f>
        <v>DEFINIR CRITÉRIO</v>
      </c>
      <c r="K54" s="241" t="str">
        <f t="shared" si="0"/>
        <v/>
      </c>
      <c r="L54" s="238" t="str">
        <f t="shared" si="1"/>
        <v/>
      </c>
      <c r="M54" s="51"/>
      <c r="N54" s="52"/>
      <c r="O54" s="53"/>
      <c r="P54" s="235">
        <f t="shared" si="2"/>
        <v>12.396666666666667</v>
      </c>
      <c r="Q54" s="236">
        <f t="shared" si="3"/>
        <v>0</v>
      </c>
      <c r="R54" s="236">
        <f t="shared" si="4"/>
        <v>0</v>
      </c>
      <c r="S54" s="236">
        <f t="shared" si="5"/>
        <v>0</v>
      </c>
      <c r="T54" s="236">
        <f t="shared" si="6"/>
        <v>0</v>
      </c>
      <c r="U54" s="237" t="e">
        <f>IF(AA54 = "", "", IF(OR($H54 = PARÂMETROS!$E$5, $H54 = ""), AA54, IF(OR(AA54 &lt; (1-VLOOKUP($H54,PARÂMETROS!$E:$F,2,FALSE))*$P54, AA54 &gt; (1+VLOOKUP($H54,PARÂMETROS!$E:$F,2,FALSE))*$P54),"",AA54)))</f>
        <v>#N/A</v>
      </c>
      <c r="V54" s="237" t="e">
        <f>IF(AG54 = "", "", IF(OR($H54 = PARÂMETROS!$E$5, $H54 = ""), AG54, IF(OR(AG54 &lt; (1-VLOOKUP($H54,PARÂMETROS!$E:$F,2,FALSE))*$P59, AG54 &gt; (1+VLOOKUP($H54,PARÂMETROS!$E:$F,2,FALSE))*$P54),"",AG54)))</f>
        <v>#N/A</v>
      </c>
      <c r="W54" s="237" t="e">
        <f>IF(AM54 = "", "", IF(OR($H54 = PARÂMETROS!$E$5, $H54 = ""), AM54, IF(OR(AM54 &lt; (1-VLOOKUP($H54,PARÂMETROS!$E:$F,2,FALSE))*$P54, AM54 &gt; (1+VLOOKUP($H54,PARÂMETROS!$E:$F,2,FALSE))*$P54),"",AM54)))</f>
        <v>#N/A</v>
      </c>
      <c r="X54" s="237" t="str">
        <f>IF(AS54 = "", "", IF(OR($H54 = PARÂMETROS!$E$5, $H54 = ""), AS54, IF(OR(AS54 &lt; (1-VLOOKUP($H54,PARÂMETROS!$E:$F,2,FALSE))*$P54, AS54 &gt; (1+VLOOKUP($H54,PARÂMETROS!$E:$F,2,FALSE))*$P54),"",AS54)))</f>
        <v/>
      </c>
      <c r="Y54" s="237" t="str">
        <f>IF(AY54 = "", "", IF(OR($H54 = PARÂMETROS!$E$5, $H54 = ""), AY54, IF(OR(AY54 &lt; (1-VLOOKUP($H54,PARÂMETROS!$E:$F,2,FALSE))*$P54, AY54 &gt; (1+VLOOKUP($H54,PARÂMETROS!$E:$F,2,FALSE))*$P54),"",AY54)))</f>
        <v/>
      </c>
      <c r="Z54" s="237" t="str">
        <f>IF(BE54 = "", "", IF(OR($H54 = PARÂMETROS!$E$5, $H54 = ""), BE54, IF(OR(BE54 &lt; (1-VLOOKUP($H54,PARÂMETROS!$E:$F,2,FALSE))*$P54, BE54 &gt; (1+VLOOKUP($H54,PARÂMETROS!$E:$F,2,FALSE))*$P54),"",BE54)))</f>
        <v/>
      </c>
      <c r="AA54" s="207">
        <v>10.38</v>
      </c>
      <c r="AB54" s="208">
        <v>1075</v>
      </c>
      <c r="AC54" s="206" t="e">
        <f>IF(AND(OR(AA54="",AA54=0),OR(AA54="",AB54=0)),"",IF(OR(AA54="",AA54=0),"DEFINIR PREÇO",IF(OR(AB54="",AB54=0),"DEFINIR FORNECEDOR",IF(OR(AA54&lt;&gt;"",AA54&lt;&gt;0),VLOOKUP(AB54,#REF!,2,FALSE)))))</f>
        <v>#REF!</v>
      </c>
      <c r="AD54" s="217" t="s">
        <v>1977</v>
      </c>
      <c r="AE54" s="218">
        <v>44929</v>
      </c>
      <c r="AF54" s="220" t="str">
        <f t="shared" ca="1" si="7"/>
        <v>DESATUALIZADA</v>
      </c>
      <c r="AG54" s="229">
        <v>10.81</v>
      </c>
      <c r="AH54" s="231">
        <v>1074</v>
      </c>
      <c r="AI54" s="206" t="e">
        <f>IF(AND(OR(AG54="",AG54=0),OR(AG54="",AH54=0)),"",IF(OR(AG54="",AG54=0),"DEFINIR PREÇO",IF(OR(AH54="",AH54=0),"DEFINIR FORNECEDOR",IF(OR(AG54&lt;&gt;"",AG54&lt;&gt;0),VLOOKUP(AH54,#REF!,2,FALSE)))))</f>
        <v>#REF!</v>
      </c>
      <c r="AJ54" s="217" t="s">
        <v>1977</v>
      </c>
      <c r="AK54" s="218">
        <v>44929</v>
      </c>
      <c r="AL54" s="220" t="str">
        <f t="shared" ca="1" si="8"/>
        <v>DESATUALIZADA</v>
      </c>
      <c r="AM54" s="229">
        <v>16</v>
      </c>
      <c r="AN54" s="231">
        <v>2184</v>
      </c>
      <c r="AO54" s="206" t="e">
        <f>IF(AND(OR(AM54="",AM54=0),OR(AM54="",AN54=0)),"",IF(OR(AM54="",AM54=0),"DEFINIR PREÇO",IF(OR(AN54="",AN54=0),"DEFINIR FORNECEDOR",IF(OR(AM54&lt;&gt;"",AM54&lt;&gt;0),VLOOKUP(AN54,#REF!,2,FALSE)))))</f>
        <v>#REF!</v>
      </c>
      <c r="AP54" s="217" t="s">
        <v>1977</v>
      </c>
      <c r="AQ54" s="218">
        <v>44929</v>
      </c>
      <c r="AR54" s="220" t="str">
        <f t="shared" ca="1" si="9"/>
        <v>DESATUALIZADA</v>
      </c>
      <c r="AS54" s="229"/>
      <c r="AT54" s="231"/>
      <c r="AU54" s="191" t="str">
        <f>IF(AND(OR(AS54="",AS54=0),OR(AS54="",AT54=0)),"",IF(OR(AS54="",AS54=0),"DEFINIR PREÇO",IF(OR(AT54="",AT54=0),"DEFINIR FORNECEDOR",IF(OR(AS54&lt;&gt;"",AS54&lt;&gt;0),VLOOKUP(AT54,#REF!,2,FALSE)))))</f>
        <v/>
      </c>
      <c r="AV54" s="217"/>
      <c r="AW54" s="218"/>
      <c r="AX54" s="220" t="str">
        <f t="shared" ca="1" si="10"/>
        <v/>
      </c>
      <c r="AY54" s="229"/>
      <c r="AZ54" s="234"/>
      <c r="BA54" s="209" t="str">
        <f>IF(AND(OR(AY54="",AY54=0),OR(AY54="",AZ54=0)),"",IF(OR(AY54="",AY54=0),"DEFINIR PREÇO",IF(OR(AZ54="",AZ54=0),"DEFINIR FORNECEDOR",IF(OR(AY54&lt;&gt;"",AY54&lt;&gt;0),VLOOKUP(AZ54,#REF!,2,FALSE)))))</f>
        <v/>
      </c>
      <c r="BB54" s="217"/>
      <c r="BC54" s="218"/>
      <c r="BD54" s="220" t="str">
        <f t="shared" ca="1" si="11"/>
        <v/>
      </c>
      <c r="BE54" s="195"/>
      <c r="BF54" s="196"/>
      <c r="BG54" s="194" t="str">
        <f>IF(AND(OR(BE54="",BE54=0),OR(BE54="",BF54=0)),"",IF(OR(BE54="",BE54=0),"DEFINIR PREÇO",IF(OR(BF54="",BF54=0),"DEFINIR FORNECEDOR",IF(OR(BE54&lt;&gt;"",BE54&lt;&gt;0),VLOOKUP(BF54,#REF!,2,FALSE)))))</f>
        <v/>
      </c>
      <c r="BH54" s="192"/>
      <c r="BI54" s="192"/>
      <c r="BJ54" s="193"/>
    </row>
    <row r="55" spans="1:62" ht="30" x14ac:dyDescent="0.25">
      <c r="A55" s="44" t="s">
        <v>405</v>
      </c>
      <c r="B55" s="45" t="s">
        <v>461</v>
      </c>
      <c r="C55" s="45">
        <v>4</v>
      </c>
      <c r="D55" s="55" t="s">
        <v>462</v>
      </c>
      <c r="E55" s="45" t="s">
        <v>33</v>
      </c>
      <c r="F55" s="46" t="str">
        <f>J55</f>
        <v>DEFINIR CRITÉRIO</v>
      </c>
      <c r="G55" s="47" t="str">
        <f>J55</f>
        <v>DEFINIR CRITÉRIO</v>
      </c>
      <c r="H55" s="240" t="s">
        <v>2000</v>
      </c>
      <c r="I55" s="240" t="s">
        <v>2001</v>
      </c>
      <c r="J55" s="242" t="str">
        <f>IFERROR(IF(N55&lt;&gt;"",M55,IF(I55 = PARÂMETROS!$B$5,Q55, IF(I55 = PARÂMETROS!$B$6,R55,IF(I55 = PARÂMETROS!$B$7,S55,IF(I55 = PARÂMETROS!$B$8, T55,"DEFINIR CRITÉRIO"))))),"SEM PREÇO")</f>
        <v>DEFINIR CRITÉRIO</v>
      </c>
      <c r="K55" s="241" t="str">
        <f t="shared" si="0"/>
        <v/>
      </c>
      <c r="L55" s="238" t="str">
        <f t="shared" si="1"/>
        <v/>
      </c>
      <c r="M55" s="51"/>
      <c r="N55" s="52"/>
      <c r="O55" s="53"/>
      <c r="P55" s="235">
        <f t="shared" si="2"/>
        <v>115.43333333333332</v>
      </c>
      <c r="Q55" s="236">
        <f t="shared" si="3"/>
        <v>0</v>
      </c>
      <c r="R55" s="236">
        <f t="shared" si="4"/>
        <v>0</v>
      </c>
      <c r="S55" s="236">
        <f t="shared" si="5"/>
        <v>0</v>
      </c>
      <c r="T55" s="236">
        <f t="shared" si="6"/>
        <v>0</v>
      </c>
      <c r="U55" s="237" t="e">
        <f>IF(AA55 = "", "", IF(OR($H55 = PARÂMETROS!$E$5, $H55 = ""), AA55, IF(OR(AA55 &lt; (1-VLOOKUP($H55,PARÂMETROS!$E:$F,2,FALSE))*$P55, AA55 &gt; (1+VLOOKUP($H55,PARÂMETROS!$E:$F,2,FALSE))*$P55),"",AA55)))</f>
        <v>#N/A</v>
      </c>
      <c r="V55" s="237" t="e">
        <f>IF(AG55 = "", "", IF(OR($H55 = PARÂMETROS!$E$5, $H55 = ""), AG55, IF(OR(AG55 &lt; (1-VLOOKUP($H55,PARÂMETROS!$E:$F,2,FALSE))*$P60, AG55 &gt; (1+VLOOKUP($H55,PARÂMETROS!$E:$F,2,FALSE))*$P55),"",AG55)))</f>
        <v>#N/A</v>
      </c>
      <c r="W55" s="237" t="e">
        <f>IF(AM55 = "", "", IF(OR($H55 = PARÂMETROS!$E$5, $H55 = ""), AM55, IF(OR(AM55 &lt; (1-VLOOKUP($H55,PARÂMETROS!$E:$F,2,FALSE))*$P55, AM55 &gt; (1+VLOOKUP($H55,PARÂMETROS!$E:$F,2,FALSE))*$P55),"",AM55)))</f>
        <v>#N/A</v>
      </c>
      <c r="X55" s="237" t="str">
        <f>IF(AS55 = "", "", IF(OR($H55 = PARÂMETROS!$E$5, $H55 = ""), AS55, IF(OR(AS55 &lt; (1-VLOOKUP($H55,PARÂMETROS!$E:$F,2,FALSE))*$P55, AS55 &gt; (1+VLOOKUP($H55,PARÂMETROS!$E:$F,2,FALSE))*$P55),"",AS55)))</f>
        <v/>
      </c>
      <c r="Y55" s="237" t="str">
        <f>IF(AY55 = "", "", IF(OR($H55 = PARÂMETROS!$E$5, $H55 = ""), AY55, IF(OR(AY55 &lt; (1-VLOOKUP($H55,PARÂMETROS!$E:$F,2,FALSE))*$P55, AY55 &gt; (1+VLOOKUP($H55,PARÂMETROS!$E:$F,2,FALSE))*$P55),"",AY55)))</f>
        <v/>
      </c>
      <c r="Z55" s="237" t="str">
        <f>IF(BE55 = "", "", IF(OR($H55 = PARÂMETROS!$E$5, $H55 = ""), BE55, IF(OR(BE55 &lt; (1-VLOOKUP($H55,PARÂMETROS!$E:$F,2,FALSE))*$P55, BE55 &gt; (1+VLOOKUP($H55,PARÂMETROS!$E:$F,2,FALSE))*$P55),"",BE55)))</f>
        <v/>
      </c>
      <c r="AA55" s="207">
        <v>97.93</v>
      </c>
      <c r="AB55" s="208">
        <v>1075</v>
      </c>
      <c r="AC55" s="206" t="e">
        <f>IF(AND(OR(AA55="",AA55=0),OR(AA55="",AB55=0)),"",IF(OR(AA55="",AA55=0),"DEFINIR PREÇO",IF(OR(AB55="",AB55=0),"DEFINIR FORNECEDOR",IF(OR(AA55&lt;&gt;"",AA55&lt;&gt;0),VLOOKUP(AB55,#REF!,2,FALSE)))))</f>
        <v>#REF!</v>
      </c>
      <c r="AD55" s="217" t="s">
        <v>1977</v>
      </c>
      <c r="AE55" s="218">
        <v>44929</v>
      </c>
      <c r="AF55" s="220" t="str">
        <f t="shared" ca="1" si="7"/>
        <v>DESATUALIZADA</v>
      </c>
      <c r="AG55" s="229">
        <v>112.39</v>
      </c>
      <c r="AH55" s="231">
        <v>1345</v>
      </c>
      <c r="AI55" s="206" t="e">
        <f>IF(AND(OR(AG55="",AG55=0),OR(AG55="",AH55=0)),"",IF(OR(AG55="",AG55=0),"DEFINIR PREÇO",IF(OR(AH55="",AH55=0),"DEFINIR FORNECEDOR",IF(OR(AG55&lt;&gt;"",AG55&lt;&gt;0),VLOOKUP(AH55,#REF!,2,FALSE)))))</f>
        <v>#REF!</v>
      </c>
      <c r="AJ55" s="217" t="s">
        <v>1977</v>
      </c>
      <c r="AK55" s="218">
        <v>44929</v>
      </c>
      <c r="AL55" s="220" t="str">
        <f t="shared" ca="1" si="8"/>
        <v>DESATUALIZADA</v>
      </c>
      <c r="AM55" s="229">
        <v>135.97999999999999</v>
      </c>
      <c r="AN55" s="231">
        <v>1076</v>
      </c>
      <c r="AO55" s="206" t="e">
        <f>IF(AND(OR(AM55="",AM55=0),OR(AM55="",AN55=0)),"",IF(OR(AM55="",AM55=0),"DEFINIR PREÇO",IF(OR(AN55="",AN55=0),"DEFINIR FORNECEDOR",IF(OR(AM55&lt;&gt;"",AM55&lt;&gt;0),VLOOKUP(AN55,#REF!,2,FALSE)))))</f>
        <v>#REF!</v>
      </c>
      <c r="AP55" s="217" t="s">
        <v>1977</v>
      </c>
      <c r="AQ55" s="218">
        <v>44929</v>
      </c>
      <c r="AR55" s="220" t="str">
        <f t="shared" ca="1" si="9"/>
        <v>DESATUALIZADA</v>
      </c>
      <c r="AS55" s="229"/>
      <c r="AT55" s="231"/>
      <c r="AU55" s="191" t="str">
        <f>IF(AND(OR(AS55="",AS55=0),OR(AS55="",AT55=0)),"",IF(OR(AS55="",AS55=0),"DEFINIR PREÇO",IF(OR(AT55="",AT55=0),"DEFINIR FORNECEDOR",IF(OR(AS55&lt;&gt;"",AS55&lt;&gt;0),VLOOKUP(AT55,#REF!,2,FALSE)))))</f>
        <v/>
      </c>
      <c r="AV55" s="217"/>
      <c r="AW55" s="218"/>
      <c r="AX55" s="220" t="str">
        <f t="shared" ca="1" si="10"/>
        <v/>
      </c>
      <c r="AY55" s="229"/>
      <c r="AZ55" s="234"/>
      <c r="BA55" s="209" t="str">
        <f>IF(AND(OR(AY55="",AY55=0),OR(AY55="",AZ55=0)),"",IF(OR(AY55="",AY55=0),"DEFINIR PREÇO",IF(OR(AZ55="",AZ55=0),"DEFINIR FORNECEDOR",IF(OR(AY55&lt;&gt;"",AY55&lt;&gt;0),VLOOKUP(AZ55,#REF!,2,FALSE)))))</f>
        <v/>
      </c>
      <c r="BB55" s="217"/>
      <c r="BC55" s="218"/>
      <c r="BD55" s="220" t="str">
        <f t="shared" ca="1" si="11"/>
        <v/>
      </c>
      <c r="BE55" s="195"/>
      <c r="BF55" s="196"/>
      <c r="BG55" s="194"/>
      <c r="BH55" s="192"/>
      <c r="BI55" s="192"/>
      <c r="BJ55" s="193"/>
    </row>
    <row r="56" spans="1:62" ht="45" x14ac:dyDescent="0.25">
      <c r="A56" s="44" t="s">
        <v>405</v>
      </c>
      <c r="B56" s="45" t="s">
        <v>463</v>
      </c>
      <c r="C56" s="45">
        <v>4</v>
      </c>
      <c r="D56" s="55" t="s">
        <v>464</v>
      </c>
      <c r="E56" s="45" t="s">
        <v>31</v>
      </c>
      <c r="F56" s="46" t="str">
        <f>J56</f>
        <v>DEFINIR CRITÉRIO</v>
      </c>
      <c r="G56" s="47" t="str">
        <f>J56</f>
        <v>DEFINIR CRITÉRIO</v>
      </c>
      <c r="H56" s="240" t="s">
        <v>2000</v>
      </c>
      <c r="I56" s="240" t="s">
        <v>2001</v>
      </c>
      <c r="J56" s="242" t="str">
        <f>IFERROR(IF(N56&lt;&gt;"",M56,IF(I56 = PARÂMETROS!$B$5,Q56, IF(I56 = PARÂMETROS!$B$6,R56,IF(I56 = PARÂMETROS!$B$7,S56,IF(I56 = PARÂMETROS!$B$8, T56,"DEFINIR CRITÉRIO"))))),"SEM PREÇO")</f>
        <v>DEFINIR CRITÉRIO</v>
      </c>
      <c r="K56" s="241" t="str">
        <f t="shared" si="0"/>
        <v/>
      </c>
      <c r="L56" s="238" t="str">
        <f t="shared" si="1"/>
        <v/>
      </c>
      <c r="M56" s="51"/>
      <c r="N56" s="52"/>
      <c r="O56" s="53"/>
      <c r="P56" s="235">
        <f t="shared" si="2"/>
        <v>87.36333333333333</v>
      </c>
      <c r="Q56" s="236">
        <f t="shared" si="3"/>
        <v>0</v>
      </c>
      <c r="R56" s="236">
        <f t="shared" si="4"/>
        <v>0</v>
      </c>
      <c r="S56" s="236">
        <f t="shared" si="5"/>
        <v>0</v>
      </c>
      <c r="T56" s="236">
        <f t="shared" si="6"/>
        <v>0</v>
      </c>
      <c r="U56" s="237" t="e">
        <f>IF(AA56 = "", "", IF(OR($H56 = PARÂMETROS!$E$5, $H56 = ""), AA56, IF(OR(AA56 &lt; (1-VLOOKUP($H56,PARÂMETROS!$E:$F,2,FALSE))*$P56, AA56 &gt; (1+VLOOKUP($H56,PARÂMETROS!$E:$F,2,FALSE))*$P56),"",AA56)))</f>
        <v>#N/A</v>
      </c>
      <c r="V56" s="237" t="e">
        <f>IF(AG56 = "", "", IF(OR($H56 = PARÂMETROS!$E$5, $H56 = ""), AG56, IF(OR(AG56 &lt; (1-VLOOKUP($H56,PARÂMETROS!$E:$F,2,FALSE))*$P61, AG56 &gt; (1+VLOOKUP($H56,PARÂMETROS!$E:$F,2,FALSE))*$P56),"",AG56)))</f>
        <v>#N/A</v>
      </c>
      <c r="W56" s="237" t="e">
        <f>IF(AM56 = "", "", IF(OR($H56 = PARÂMETROS!$E$5, $H56 = ""), AM56, IF(OR(AM56 &lt; (1-VLOOKUP($H56,PARÂMETROS!$E:$F,2,FALSE))*$P56, AM56 &gt; (1+VLOOKUP($H56,PARÂMETROS!$E:$F,2,FALSE))*$P56),"",AM56)))</f>
        <v>#N/A</v>
      </c>
      <c r="X56" s="237" t="str">
        <f>IF(AS56 = "", "", IF(OR($H56 = PARÂMETROS!$E$5, $H56 = ""), AS56, IF(OR(AS56 &lt; (1-VLOOKUP($H56,PARÂMETROS!$E:$F,2,FALSE))*$P56, AS56 &gt; (1+VLOOKUP($H56,PARÂMETROS!$E:$F,2,FALSE))*$P56),"",AS56)))</f>
        <v/>
      </c>
      <c r="Y56" s="237" t="str">
        <f>IF(AY56 = "", "", IF(OR($H56 = PARÂMETROS!$E$5, $H56 = ""), AY56, IF(OR(AY56 &lt; (1-VLOOKUP($H56,PARÂMETROS!$E:$F,2,FALSE))*$P56, AY56 &gt; (1+VLOOKUP($H56,PARÂMETROS!$E:$F,2,FALSE))*$P56),"",AY56)))</f>
        <v/>
      </c>
      <c r="Z56" s="237" t="str">
        <f>IF(BE56 = "", "", IF(OR($H56 = PARÂMETROS!$E$5, $H56 = ""), BE56, IF(OR(BE56 &lt; (1-VLOOKUP($H56,PARÂMETROS!$E:$F,2,FALSE))*$P56, BE56 &gt; (1+VLOOKUP($H56,PARÂMETROS!$E:$F,2,FALSE))*$P56),"",BE56)))</f>
        <v/>
      </c>
      <c r="AA56" s="207">
        <v>122</v>
      </c>
      <c r="AB56" s="208">
        <v>2183</v>
      </c>
      <c r="AC56" s="206" t="e">
        <f>IF(AND(OR(AA56="",AA56=0),OR(AA56="",AB56=0)),"",IF(OR(AA56="",AA56=0),"DEFINIR PREÇO",IF(OR(AB56="",AB56=0),"DEFINIR FORNECEDOR",IF(OR(AA56&lt;&gt;"",AA56&lt;&gt;0),VLOOKUP(AB56,#REF!,2,FALSE)))))</f>
        <v>#REF!</v>
      </c>
      <c r="AD56" s="217" t="s">
        <v>1977</v>
      </c>
      <c r="AE56" s="218">
        <v>44929</v>
      </c>
      <c r="AF56" s="220" t="str">
        <f t="shared" ca="1" si="7"/>
        <v>DESATUALIZADA</v>
      </c>
      <c r="AG56" s="229">
        <v>97.44</v>
      </c>
      <c r="AH56" s="231">
        <v>1858</v>
      </c>
      <c r="AI56" s="206" t="e">
        <f>IF(AND(OR(AG56="",AG56=0),OR(AG56="",AH56=0)),"",IF(OR(AG56="",AG56=0),"DEFINIR PREÇO",IF(OR(AH56="",AH56=0),"DEFINIR FORNECEDOR",IF(OR(AG56&lt;&gt;"",AG56&lt;&gt;0),VLOOKUP(AH56,#REF!,2,FALSE)))))</f>
        <v>#REF!</v>
      </c>
      <c r="AJ56" s="217" t="s">
        <v>1977</v>
      </c>
      <c r="AK56" s="218">
        <v>44929</v>
      </c>
      <c r="AL56" s="220" t="str">
        <f t="shared" ca="1" si="8"/>
        <v>DESATUALIZADA</v>
      </c>
      <c r="AM56" s="229">
        <v>42.65</v>
      </c>
      <c r="AN56" s="231">
        <v>1856</v>
      </c>
      <c r="AO56" s="206" t="e">
        <f>IF(AND(OR(AM56="",AM56=0),OR(AM56="",AN56=0)),"",IF(OR(AM56="",AM56=0),"DEFINIR PREÇO",IF(OR(AN56="",AN56=0),"DEFINIR FORNECEDOR",IF(OR(AM56&lt;&gt;"",AM56&lt;&gt;0),VLOOKUP(AN56,#REF!,2,FALSE)))))</f>
        <v>#REF!</v>
      </c>
      <c r="AP56" s="217" t="s">
        <v>1977</v>
      </c>
      <c r="AQ56" s="218">
        <v>44929</v>
      </c>
      <c r="AR56" s="220" t="str">
        <f t="shared" ca="1" si="9"/>
        <v>DESATUALIZADA</v>
      </c>
      <c r="AS56" s="229"/>
      <c r="AT56" s="231"/>
      <c r="AU56" s="191" t="str">
        <f>IF(AND(OR(AS56="",AS56=0),OR(AS56="",AT56=0)),"",IF(OR(AS56="",AS56=0),"DEFINIR PREÇO",IF(OR(AT56="",AT56=0),"DEFINIR FORNECEDOR",IF(OR(AS56&lt;&gt;"",AS56&lt;&gt;0),VLOOKUP(AT56,#REF!,2,FALSE)))))</f>
        <v/>
      </c>
      <c r="AV56" s="217"/>
      <c r="AW56" s="218"/>
      <c r="AX56" s="220" t="str">
        <f t="shared" ca="1" si="10"/>
        <v/>
      </c>
      <c r="AY56" s="229"/>
      <c r="AZ56" s="234"/>
      <c r="BA56" s="209" t="str">
        <f>IF(AND(OR(AY56="",AY56=0),OR(AY56="",AZ56=0)),"",IF(OR(AY56="",AY56=0),"DEFINIR PREÇO",IF(OR(AZ56="",AZ56=0),"DEFINIR FORNECEDOR",IF(OR(AY56&lt;&gt;"",AY56&lt;&gt;0),VLOOKUP(AZ56,#REF!,2,FALSE)))))</f>
        <v/>
      </c>
      <c r="BB56" s="217"/>
      <c r="BC56" s="218"/>
      <c r="BD56" s="220" t="str">
        <f t="shared" ca="1" si="11"/>
        <v/>
      </c>
      <c r="BE56" s="195"/>
      <c r="BF56" s="196"/>
      <c r="BG56" s="194"/>
      <c r="BH56" s="192"/>
      <c r="BI56" s="192"/>
      <c r="BJ56" s="193"/>
    </row>
    <row r="57" spans="1:62" ht="30" x14ac:dyDescent="0.25">
      <c r="A57" s="44" t="s">
        <v>405</v>
      </c>
      <c r="B57" s="45" t="s">
        <v>165</v>
      </c>
      <c r="C57" s="45">
        <v>4</v>
      </c>
      <c r="D57" s="55" t="s">
        <v>159</v>
      </c>
      <c r="E57" s="45" t="s">
        <v>31</v>
      </c>
      <c r="F57" s="46" t="str">
        <f t="shared" si="34"/>
        <v>DEFINIR CRITÉRIO</v>
      </c>
      <c r="G57" s="47" t="str">
        <f t="shared" si="35"/>
        <v>DEFINIR CRITÉRIO</v>
      </c>
      <c r="H57" s="240" t="s">
        <v>2000</v>
      </c>
      <c r="I57" s="240" t="s">
        <v>2001</v>
      </c>
      <c r="J57" s="242" t="str">
        <f>IFERROR(IF(N57&lt;&gt;"",M57,IF(I57 = PARÂMETROS!$B$5,Q57, IF(I57 = PARÂMETROS!$B$6,R57,IF(I57 = PARÂMETROS!$B$7,S57,IF(I57 = PARÂMETROS!$B$8, T57,"DEFINIR CRITÉRIO"))))),"SEM PREÇO")</f>
        <v>DEFINIR CRITÉRIO</v>
      </c>
      <c r="K57" s="241" t="str">
        <f t="shared" si="0"/>
        <v/>
      </c>
      <c r="L57" s="238" t="str">
        <f t="shared" si="1"/>
        <v/>
      </c>
      <c r="M57" s="51"/>
      <c r="N57" s="52"/>
      <c r="O57" s="53"/>
      <c r="P57" s="235">
        <f t="shared" si="2"/>
        <v>12.646666666666667</v>
      </c>
      <c r="Q57" s="236">
        <f t="shared" si="3"/>
        <v>0</v>
      </c>
      <c r="R57" s="236">
        <f t="shared" si="4"/>
        <v>0</v>
      </c>
      <c r="S57" s="236">
        <f t="shared" si="5"/>
        <v>0</v>
      </c>
      <c r="T57" s="236">
        <f t="shared" si="6"/>
        <v>0</v>
      </c>
      <c r="U57" s="237" t="e">
        <f>IF(AA57 = "", "", IF(OR($H57 = PARÂMETROS!$E$5, $H57 = ""), AA57, IF(OR(AA57 &lt; (1-VLOOKUP($H57,PARÂMETROS!$E:$F,2,FALSE))*$P57, AA57 &gt; (1+VLOOKUP($H57,PARÂMETROS!$E:$F,2,FALSE))*$P57),"",AA57)))</f>
        <v>#N/A</v>
      </c>
      <c r="V57" s="237" t="e">
        <f>IF(AG57 = "", "", IF(OR($H57 = PARÂMETROS!$E$5, $H57 = ""), AG57, IF(OR(AG57 &lt; (1-VLOOKUP($H57,PARÂMETROS!$E:$F,2,FALSE))*$P62, AG57 &gt; (1+VLOOKUP($H57,PARÂMETROS!$E:$F,2,FALSE))*$P57),"",AG57)))</f>
        <v>#N/A</v>
      </c>
      <c r="W57" s="237" t="e">
        <f>IF(AM57 = "", "", IF(OR($H57 = PARÂMETROS!$E$5, $H57 = ""), AM57, IF(OR(AM57 &lt; (1-VLOOKUP($H57,PARÂMETROS!$E:$F,2,FALSE))*$P57, AM57 &gt; (1+VLOOKUP($H57,PARÂMETROS!$E:$F,2,FALSE))*$P57),"",AM57)))</f>
        <v>#N/A</v>
      </c>
      <c r="X57" s="237" t="str">
        <f>IF(AS57 = "", "", IF(OR($H57 = PARÂMETROS!$E$5, $H57 = ""), AS57, IF(OR(AS57 &lt; (1-VLOOKUP($H57,PARÂMETROS!$E:$F,2,FALSE))*$P57, AS57 &gt; (1+VLOOKUP($H57,PARÂMETROS!$E:$F,2,FALSE))*$P57),"",AS57)))</f>
        <v/>
      </c>
      <c r="Y57" s="237" t="str">
        <f>IF(AY57 = "", "", IF(OR($H57 = PARÂMETROS!$E$5, $H57 = ""), AY57, IF(OR(AY57 &lt; (1-VLOOKUP($H57,PARÂMETROS!$E:$F,2,FALSE))*$P57, AY57 &gt; (1+VLOOKUP($H57,PARÂMETROS!$E:$F,2,FALSE))*$P57),"",AY57)))</f>
        <v/>
      </c>
      <c r="Z57" s="237" t="str">
        <f>IF(BE57 = "", "", IF(OR($H57 = PARÂMETROS!$E$5, $H57 = ""), BE57, IF(OR(BE57 &lt; (1-VLOOKUP($H57,PARÂMETROS!$E:$F,2,FALSE))*$P57, BE57 &gt; (1+VLOOKUP($H57,PARÂMETROS!$E:$F,2,FALSE))*$P57),"",BE57)))</f>
        <v/>
      </c>
      <c r="AA57" s="207">
        <v>16.989999999999998</v>
      </c>
      <c r="AB57" s="208">
        <v>1077</v>
      </c>
      <c r="AC57" s="206" t="e">
        <f>IF(AND(OR(AA57="",AA57=0),OR(AA57="",AB57=0)),"",IF(OR(AA57="",AA57=0),"DEFINIR PREÇO",IF(OR(AB57="",AB57=0),"DEFINIR FORNECEDOR",IF(OR(AA57&lt;&gt;"",AA57&lt;&gt;0),VLOOKUP(AB57,#REF!,2,FALSE)))))</f>
        <v>#REF!</v>
      </c>
      <c r="AD57" s="217" t="s">
        <v>1977</v>
      </c>
      <c r="AE57" s="218">
        <v>44929</v>
      </c>
      <c r="AF57" s="220" t="str">
        <f t="shared" ca="1" si="7"/>
        <v>DESATUALIZADA</v>
      </c>
      <c r="AG57" s="229">
        <v>9.5</v>
      </c>
      <c r="AH57" s="231">
        <v>1074</v>
      </c>
      <c r="AI57" s="206" t="e">
        <f>IF(AND(OR(AG57="",AG57=0),OR(AG57="",AH57=0)),"",IF(OR(AG57="",AG57=0),"DEFINIR PREÇO",IF(OR(AH57="",AH57=0),"DEFINIR FORNECEDOR",IF(OR(AG57&lt;&gt;"",AG57&lt;&gt;0),VLOOKUP(AH57,#REF!,2,FALSE)))))</f>
        <v>#REF!</v>
      </c>
      <c r="AJ57" s="217" t="s">
        <v>1977</v>
      </c>
      <c r="AK57" s="218">
        <v>44929</v>
      </c>
      <c r="AL57" s="220" t="str">
        <f t="shared" ca="1" si="8"/>
        <v>DESATUALIZADA</v>
      </c>
      <c r="AM57" s="229">
        <v>11.45</v>
      </c>
      <c r="AN57" s="231">
        <v>2182</v>
      </c>
      <c r="AO57" s="206" t="e">
        <f>IF(AND(OR(AM57="",AM57=0),OR(AM57="",AN57=0)),"",IF(OR(AM57="",AM57=0),"DEFINIR PREÇO",IF(OR(AN57="",AN57=0),"DEFINIR FORNECEDOR",IF(OR(AM57&lt;&gt;"",AM57&lt;&gt;0),VLOOKUP(AN57,#REF!,2,FALSE)))))</f>
        <v>#REF!</v>
      </c>
      <c r="AP57" s="217" t="s">
        <v>1977</v>
      </c>
      <c r="AQ57" s="218">
        <v>44929</v>
      </c>
      <c r="AR57" s="220" t="str">
        <f t="shared" ca="1" si="9"/>
        <v>DESATUALIZADA</v>
      </c>
      <c r="AS57" s="229"/>
      <c r="AT57" s="231"/>
      <c r="AU57" s="191" t="str">
        <f>IF(AND(OR(AS57="",AS57=0),OR(AS57="",AT57=0)),"",IF(OR(AS57="",AS57=0),"DEFINIR PREÇO",IF(OR(AT57="",AT57=0),"DEFINIR FORNECEDOR",IF(OR(AS57&lt;&gt;"",AS57&lt;&gt;0),VLOOKUP(AT57,#REF!,2,FALSE)))))</f>
        <v/>
      </c>
      <c r="AV57" s="217"/>
      <c r="AW57" s="218"/>
      <c r="AX57" s="220" t="str">
        <f t="shared" ca="1" si="10"/>
        <v/>
      </c>
      <c r="AY57" s="229"/>
      <c r="AZ57" s="234"/>
      <c r="BA57" s="209" t="str">
        <f>IF(AND(OR(AY57="",AY57=0),OR(AY57="",AZ57=0)),"",IF(OR(AY57="",AY57=0),"DEFINIR PREÇO",IF(OR(AZ57="",AZ57=0),"DEFINIR FORNECEDOR",IF(OR(AY57&lt;&gt;"",AY57&lt;&gt;0),VLOOKUP(AZ57,#REF!,2,FALSE)))))</f>
        <v/>
      </c>
      <c r="BB57" s="217"/>
      <c r="BC57" s="218"/>
      <c r="BD57" s="220" t="str">
        <f t="shared" ca="1" si="11"/>
        <v/>
      </c>
      <c r="BE57" s="195"/>
      <c r="BF57" s="196"/>
      <c r="BG57" s="194"/>
      <c r="BH57" s="192"/>
      <c r="BI57" s="192"/>
      <c r="BJ57" s="193"/>
    </row>
    <row r="58" spans="1:62" ht="22.5" customHeight="1" x14ac:dyDescent="0.25">
      <c r="A58" s="44" t="s">
        <v>405</v>
      </c>
      <c r="B58" s="58" t="s">
        <v>166</v>
      </c>
      <c r="C58" s="45">
        <v>4</v>
      </c>
      <c r="D58" s="244" t="s">
        <v>160</v>
      </c>
      <c r="E58" s="45" t="s">
        <v>23</v>
      </c>
      <c r="F58" s="46" t="e">
        <f>VLOOKUP(B58,#REF!,4,FALSE)</f>
        <v>#REF!</v>
      </c>
      <c r="G58" s="47" t="e">
        <f>VLOOKUP(B58,#REF!,4,FALSE)</f>
        <v>#REF!</v>
      </c>
      <c r="H58" s="240" t="s">
        <v>2000</v>
      </c>
      <c r="I58" s="240" t="s">
        <v>2001</v>
      </c>
      <c r="J58" s="242" t="str">
        <f>IFERROR(IF(N58&lt;&gt;"",M58,IF(I58 = PARÂMETROS!$B$5,Q58, IF(I58 = PARÂMETROS!$B$6,R58,IF(I58 = PARÂMETROS!$B$7,S58,IF(I58 = PARÂMETROS!$B$8, T58,"DEFINIR CRITÉRIO"))))),"SEM PREÇO")</f>
        <v>DEFINIR CRITÉRIO</v>
      </c>
      <c r="K58" s="241" t="str">
        <f t="shared" si="0"/>
        <v/>
      </c>
      <c r="L58" s="238" t="str">
        <f t="shared" si="1"/>
        <v/>
      </c>
      <c r="M58" s="51"/>
      <c r="N58" s="52"/>
      <c r="O58" s="53"/>
      <c r="P58" s="235">
        <f t="shared" si="2"/>
        <v>0</v>
      </c>
      <c r="Q58" s="236">
        <f t="shared" si="3"/>
        <v>0</v>
      </c>
      <c r="R58" s="236">
        <f t="shared" si="4"/>
        <v>0</v>
      </c>
      <c r="S58" s="236">
        <f t="shared" si="5"/>
        <v>0</v>
      </c>
      <c r="T58" s="236">
        <f t="shared" si="6"/>
        <v>0</v>
      </c>
      <c r="U58" s="237" t="str">
        <f>IF(AA58 = "", "", IF(OR($H58 = PARÂMETROS!$E$5, $H58 = ""), AA58, IF(OR(AA58 &lt; (1-VLOOKUP($H58,PARÂMETROS!$E:$F,2,FALSE))*$P58, AA58 &gt; (1+VLOOKUP($H58,PARÂMETROS!$E:$F,2,FALSE))*$P58),"",AA58)))</f>
        <v/>
      </c>
      <c r="V58" s="237" t="str">
        <f>IF(AG58 = "", "", IF(OR($H58 = PARÂMETROS!$E$5, $H58 = ""), AG58, IF(OR(AG58 &lt; (1-VLOOKUP($H58,PARÂMETROS!$E:$F,2,FALSE))*$P63, AG58 &gt; (1+VLOOKUP($H58,PARÂMETROS!$E:$F,2,FALSE))*$P58),"",AG58)))</f>
        <v/>
      </c>
      <c r="W58" s="237" t="str">
        <f>IF(AM58 = "", "", IF(OR($H58 = PARÂMETROS!$E$5, $H58 = ""), AM58, IF(OR(AM58 &lt; (1-VLOOKUP($H58,PARÂMETROS!$E:$F,2,FALSE))*$P58, AM58 &gt; (1+VLOOKUP($H58,PARÂMETROS!$E:$F,2,FALSE))*$P58),"",AM58)))</f>
        <v/>
      </c>
      <c r="X58" s="237" t="str">
        <f>IF(AS58 = "", "", IF(OR($H58 = PARÂMETROS!$E$5, $H58 = ""), AS58, IF(OR(AS58 &lt; (1-VLOOKUP($H58,PARÂMETROS!$E:$F,2,FALSE))*$P58, AS58 &gt; (1+VLOOKUP($H58,PARÂMETROS!$E:$F,2,FALSE))*$P58),"",AS58)))</f>
        <v/>
      </c>
      <c r="Y58" s="237" t="str">
        <f>IF(AY58 = "", "", IF(OR($H58 = PARÂMETROS!$E$5, $H58 = ""), AY58, IF(OR(AY58 &lt; (1-VLOOKUP($H58,PARÂMETROS!$E:$F,2,FALSE))*$P58, AY58 &gt; (1+VLOOKUP($H58,PARÂMETROS!$E:$F,2,FALSE))*$P58),"",AY58)))</f>
        <v/>
      </c>
      <c r="Z58" s="237" t="str">
        <f>IF(BE58 = "", "", IF(OR($H58 = PARÂMETROS!$E$5, $H58 = ""), BE58, IF(OR(BE58 &lt; (1-VLOOKUP($H58,PARÂMETROS!$E:$F,2,FALSE))*$P58, BE58 &gt; (1+VLOOKUP($H58,PARÂMETROS!$E:$F,2,FALSE))*$P58),"",BE58)))</f>
        <v/>
      </c>
      <c r="AA58" s="207"/>
      <c r="AB58" s="208"/>
      <c r="AC58" s="206" t="str">
        <f>IF(AND(OR(AA58="",AA58=0),OR(AA58="",AB58=0)),"",IF(OR(AA58="",AA58=0),"DEFINIR PREÇO",IF(OR(AB58="",AB58=0),"DEFINIR FORNECEDOR",IF(OR(AA58&lt;&gt;"",AA58&lt;&gt;0),VLOOKUP(AB58,#REF!,2,FALSE)))))</f>
        <v/>
      </c>
      <c r="AD58" s="217"/>
      <c r="AE58" s="218"/>
      <c r="AF58" s="220" t="str">
        <f t="shared" ca="1" si="7"/>
        <v/>
      </c>
      <c r="AG58" s="229"/>
      <c r="AH58" s="231"/>
      <c r="AI58" s="206" t="str">
        <f>IF(AND(OR(AG58="",AG58=0),OR(AG58="",AH58=0)),"",IF(OR(AG58="",AG58=0),"DEFINIR PREÇO",IF(OR(AH58="",AH58=0),"DEFINIR FORNECEDOR",IF(OR(AG58&lt;&gt;"",AG58&lt;&gt;0),VLOOKUP(AH58,#REF!,2,FALSE)))))</f>
        <v/>
      </c>
      <c r="AJ58" s="217"/>
      <c r="AK58" s="218"/>
      <c r="AL58" s="220" t="str">
        <f t="shared" ca="1" si="8"/>
        <v/>
      </c>
      <c r="AM58" s="229"/>
      <c r="AN58" s="231"/>
      <c r="AO58" s="206" t="str">
        <f>IF(AND(OR(AM58="",AM58=0),OR(AM58="",AN58=0)),"",IF(OR(AM58="",AM58=0),"DEFINIR PREÇO",IF(OR(AN58="",AN58=0),"DEFINIR FORNECEDOR",IF(OR(AM58&lt;&gt;"",AM58&lt;&gt;0),VLOOKUP(AN58,#REF!,2,FALSE)))))</f>
        <v/>
      </c>
      <c r="AP58" s="217"/>
      <c r="AQ58" s="218"/>
      <c r="AR58" s="220" t="str">
        <f t="shared" ca="1" si="9"/>
        <v/>
      </c>
      <c r="AS58" s="229"/>
      <c r="AT58" s="231"/>
      <c r="AU58" s="191" t="str">
        <f>IF(AND(OR(AS58="",AS58=0),OR(AS58="",AT58=0)),"",IF(OR(AS58="",AS58=0),"DEFINIR PREÇO",IF(OR(AT58="",AT58=0),"DEFINIR FORNECEDOR",IF(OR(AS58&lt;&gt;"",AS58&lt;&gt;0),VLOOKUP(AT58,#REF!,2,FALSE)))))</f>
        <v/>
      </c>
      <c r="AV58" s="217"/>
      <c r="AW58" s="218"/>
      <c r="AX58" s="220" t="str">
        <f t="shared" ca="1" si="10"/>
        <v/>
      </c>
      <c r="AY58" s="229"/>
      <c r="AZ58" s="234"/>
      <c r="BA58" s="209" t="str">
        <f>IF(AND(OR(AY58="",AY58=0),OR(AY58="",AZ58=0)),"",IF(OR(AY58="",AY58=0),"DEFINIR PREÇO",IF(OR(AZ58="",AZ58=0),"DEFINIR FORNECEDOR",IF(OR(AY58&lt;&gt;"",AY58&lt;&gt;0),VLOOKUP(AZ58,#REF!,2,FALSE)))))</f>
        <v/>
      </c>
      <c r="BB58" s="217"/>
      <c r="BC58" s="218"/>
      <c r="BD58" s="220" t="str">
        <f t="shared" ca="1" si="11"/>
        <v/>
      </c>
      <c r="BE58" s="195"/>
      <c r="BF58" s="196"/>
      <c r="BG58" s="194"/>
      <c r="BH58" s="194"/>
      <c r="BI58" s="194"/>
      <c r="BJ58" s="197"/>
    </row>
    <row r="59" spans="1:62" ht="30" x14ac:dyDescent="0.25">
      <c r="A59" s="44" t="s">
        <v>405</v>
      </c>
      <c r="B59" s="45" t="s">
        <v>167</v>
      </c>
      <c r="C59" s="45">
        <v>4</v>
      </c>
      <c r="D59" s="55" t="s">
        <v>161</v>
      </c>
      <c r="E59" s="45" t="s">
        <v>23</v>
      </c>
      <c r="F59" s="46" t="str">
        <f t="shared" ref="F59" si="38">J59</f>
        <v>DEFINIR CRITÉRIO</v>
      </c>
      <c r="G59" s="47" t="str">
        <f t="shared" si="35"/>
        <v>DEFINIR CRITÉRIO</v>
      </c>
      <c r="H59" s="240" t="s">
        <v>2000</v>
      </c>
      <c r="I59" s="240" t="s">
        <v>2001</v>
      </c>
      <c r="J59" s="242" t="str">
        <f>IFERROR(IF(N59&lt;&gt;"",M59,IF(I59 = PARÂMETROS!$B$5,Q59, IF(I59 = PARÂMETROS!$B$6,R59,IF(I59 = PARÂMETROS!$B$7,S59,IF(I59 = PARÂMETROS!$B$8, T59,"DEFINIR CRITÉRIO"))))),"SEM PREÇO")</f>
        <v>DEFINIR CRITÉRIO</v>
      </c>
      <c r="K59" s="241" t="str">
        <f t="shared" si="0"/>
        <v/>
      </c>
      <c r="L59" s="238" t="str">
        <f t="shared" si="1"/>
        <v/>
      </c>
      <c r="M59" s="51"/>
      <c r="N59" s="52"/>
      <c r="O59" s="53"/>
      <c r="P59" s="235">
        <f t="shared" si="2"/>
        <v>9.3333333333333338E-2</v>
      </c>
      <c r="Q59" s="236">
        <f t="shared" si="3"/>
        <v>0</v>
      </c>
      <c r="R59" s="236">
        <f t="shared" si="4"/>
        <v>0</v>
      </c>
      <c r="S59" s="236">
        <f t="shared" si="5"/>
        <v>0</v>
      </c>
      <c r="T59" s="236">
        <f t="shared" si="6"/>
        <v>0</v>
      </c>
      <c r="U59" s="237" t="e">
        <f>IF(AA59 = "", "", IF(OR($H59 = PARÂMETROS!$E$5, $H59 = ""), AA59, IF(OR(AA59 &lt; (1-VLOOKUP($H59,PARÂMETROS!$E:$F,2,FALSE))*$P59, AA59 &gt; (1+VLOOKUP($H59,PARÂMETROS!$E:$F,2,FALSE))*$P59),"",AA59)))</f>
        <v>#N/A</v>
      </c>
      <c r="V59" s="237" t="e">
        <f>IF(AG59 = "", "", IF(OR($H59 = PARÂMETROS!$E$5, $H59 = ""), AG59, IF(OR(AG59 &lt; (1-VLOOKUP($H59,PARÂMETROS!$E:$F,2,FALSE))*$P64, AG59 &gt; (1+VLOOKUP($H59,PARÂMETROS!$E:$F,2,FALSE))*$P59),"",AG59)))</f>
        <v>#N/A</v>
      </c>
      <c r="W59" s="237" t="e">
        <f>IF(AM59 = "", "", IF(OR($H59 = PARÂMETROS!$E$5, $H59 = ""), AM59, IF(OR(AM59 &lt; (1-VLOOKUP($H59,PARÂMETROS!$E:$F,2,FALSE))*$P59, AM59 &gt; (1+VLOOKUP($H59,PARÂMETROS!$E:$F,2,FALSE))*$P59),"",AM59)))</f>
        <v>#N/A</v>
      </c>
      <c r="X59" s="237" t="str">
        <f>IF(AS59 = "", "", IF(OR($H59 = PARÂMETROS!$E$5, $H59 = ""), AS59, IF(OR(AS59 &lt; (1-VLOOKUP($H59,PARÂMETROS!$E:$F,2,FALSE))*$P59, AS59 &gt; (1+VLOOKUP($H59,PARÂMETROS!$E:$F,2,FALSE))*$P59),"",AS59)))</f>
        <v/>
      </c>
      <c r="Y59" s="237" t="str">
        <f>IF(AY59 = "", "", IF(OR($H59 = PARÂMETROS!$E$5, $H59 = ""), AY59, IF(OR(AY59 &lt; (1-VLOOKUP($H59,PARÂMETROS!$E:$F,2,FALSE))*$P59, AY59 &gt; (1+VLOOKUP($H59,PARÂMETROS!$E:$F,2,FALSE))*$P59),"",AY59)))</f>
        <v/>
      </c>
      <c r="Z59" s="237" t="str">
        <f>IF(BE59 = "", "", IF(OR($H59 = PARÂMETROS!$E$5, $H59 = ""), BE59, IF(OR(BE59 &lt; (1-VLOOKUP($H59,PARÂMETROS!$E:$F,2,FALSE))*$P59, BE59 &gt; (1+VLOOKUP($H59,PARÂMETROS!$E:$F,2,FALSE))*$P59),"",BE59)))</f>
        <v/>
      </c>
      <c r="AA59" s="207">
        <v>0.06</v>
      </c>
      <c r="AB59" s="208">
        <v>1536</v>
      </c>
      <c r="AC59" s="206" t="e">
        <f>IF(AND(OR(AA59="",AA59=0),OR(AA59="",AB59=0)),"",IF(OR(AA59="",AA59=0),"DEFINIR PREÇO",IF(OR(AB59="",AB59=0),"DEFINIR FORNECEDOR",IF(OR(AA59&lt;&gt;"",AA59&lt;&gt;0),VLOOKUP(AB59,#REF!,2,FALSE)))))</f>
        <v>#REF!</v>
      </c>
      <c r="AD59" s="217" t="s">
        <v>1977</v>
      </c>
      <c r="AE59" s="218">
        <v>44929</v>
      </c>
      <c r="AF59" s="220" t="str">
        <f t="shared" ca="1" si="7"/>
        <v>DESATUALIZADA</v>
      </c>
      <c r="AG59" s="229">
        <v>0.12</v>
      </c>
      <c r="AH59" s="231">
        <v>975</v>
      </c>
      <c r="AI59" s="206" t="e">
        <f>IF(AND(OR(AG59="",AG59=0),OR(AG59="",AH59=0)),"",IF(OR(AG59="",AG59=0),"DEFINIR PREÇO",IF(OR(AH59="",AH59=0),"DEFINIR FORNECEDOR",IF(OR(AG59&lt;&gt;"",AG59&lt;&gt;0),VLOOKUP(AH59,#REF!,2,FALSE)))))</f>
        <v>#REF!</v>
      </c>
      <c r="AJ59" s="217" t="s">
        <v>1977</v>
      </c>
      <c r="AK59" s="218">
        <v>44929</v>
      </c>
      <c r="AL59" s="220" t="str">
        <f t="shared" ca="1" si="8"/>
        <v>DESATUALIZADA</v>
      </c>
      <c r="AM59" s="229">
        <v>0.1</v>
      </c>
      <c r="AN59" s="231">
        <v>1076</v>
      </c>
      <c r="AO59" s="206" t="e">
        <f>IF(AND(OR(AM59="",AM59=0),OR(AM59="",AN59=0)),"",IF(OR(AM59="",AM59=0),"DEFINIR PREÇO",IF(OR(AN59="",AN59=0),"DEFINIR FORNECEDOR",IF(OR(AM59&lt;&gt;"",AM59&lt;&gt;0),VLOOKUP(AN59,#REF!,2,FALSE)))))</f>
        <v>#REF!</v>
      </c>
      <c r="AP59" s="217" t="s">
        <v>1977</v>
      </c>
      <c r="AQ59" s="218">
        <v>44929</v>
      </c>
      <c r="AR59" s="220" t="str">
        <f t="shared" ca="1" si="9"/>
        <v>DESATUALIZADA</v>
      </c>
      <c r="AS59" s="229"/>
      <c r="AT59" s="231"/>
      <c r="AU59" s="191" t="str">
        <f>IF(AND(OR(AS59="",AS59=0),OR(AS59="",AT59=0)),"",IF(OR(AS59="",AS59=0),"DEFINIR PREÇO",IF(OR(AT59="",AT59=0),"DEFINIR FORNECEDOR",IF(OR(AS59&lt;&gt;"",AS59&lt;&gt;0),VLOOKUP(AT59,#REF!,2,FALSE)))))</f>
        <v/>
      </c>
      <c r="AV59" s="217"/>
      <c r="AW59" s="218"/>
      <c r="AX59" s="220" t="str">
        <f t="shared" ca="1" si="10"/>
        <v/>
      </c>
      <c r="AY59" s="229"/>
      <c r="AZ59" s="234"/>
      <c r="BA59" s="209" t="str">
        <f>IF(AND(OR(AY59="",AY59=0),OR(AY59="",AZ59=0)),"",IF(OR(AY59="",AY59=0),"DEFINIR PREÇO",IF(OR(AZ59="",AZ59=0),"DEFINIR FORNECEDOR",IF(OR(AY59&lt;&gt;"",AY59&lt;&gt;0),VLOOKUP(AZ59,#REF!,2,FALSE)))))</f>
        <v/>
      </c>
      <c r="BB59" s="217"/>
      <c r="BC59" s="218"/>
      <c r="BD59" s="220" t="str">
        <f t="shared" ca="1" si="11"/>
        <v/>
      </c>
      <c r="BE59" s="195"/>
      <c r="BF59" s="196"/>
      <c r="BG59" s="194"/>
      <c r="BH59" s="192"/>
      <c r="BI59" s="192"/>
      <c r="BJ59" s="193"/>
    </row>
    <row r="60" spans="1:62" ht="30" x14ac:dyDescent="0.25">
      <c r="A60" s="44" t="s">
        <v>405</v>
      </c>
      <c r="B60" s="58" t="s">
        <v>168</v>
      </c>
      <c r="C60" s="45">
        <v>4</v>
      </c>
      <c r="D60" s="244" t="s">
        <v>162</v>
      </c>
      <c r="E60" s="45" t="s">
        <v>31</v>
      </c>
      <c r="F60" s="46" t="e">
        <f>VLOOKUP(B60,#REF!,4,FALSE)</f>
        <v>#REF!</v>
      </c>
      <c r="G60" s="47" t="e">
        <f>VLOOKUP(B60,#REF!,4,FALSE)</f>
        <v>#REF!</v>
      </c>
      <c r="H60" s="240" t="s">
        <v>2000</v>
      </c>
      <c r="I60" s="240" t="s">
        <v>2001</v>
      </c>
      <c r="J60" s="242" t="str">
        <f>IFERROR(IF(N60&lt;&gt;"",M60,IF(I60 = PARÂMETROS!$B$5,Q60, IF(I60 = PARÂMETROS!$B$6,R60,IF(I60 = PARÂMETROS!$B$7,S60,IF(I60 = PARÂMETROS!$B$8, T60,"DEFINIR CRITÉRIO"))))),"SEM PREÇO")</f>
        <v>DEFINIR CRITÉRIO</v>
      </c>
      <c r="K60" s="241" t="str">
        <f t="shared" si="0"/>
        <v/>
      </c>
      <c r="L60" s="238" t="str">
        <f t="shared" si="1"/>
        <v/>
      </c>
      <c r="M60" s="51"/>
      <c r="N60" s="52"/>
      <c r="O60" s="53"/>
      <c r="P60" s="235">
        <f t="shared" si="2"/>
        <v>0</v>
      </c>
      <c r="Q60" s="236">
        <f t="shared" si="3"/>
        <v>0</v>
      </c>
      <c r="R60" s="236">
        <f t="shared" si="4"/>
        <v>0</v>
      </c>
      <c r="S60" s="236">
        <f t="shared" si="5"/>
        <v>0</v>
      </c>
      <c r="T60" s="236">
        <f t="shared" si="6"/>
        <v>0</v>
      </c>
      <c r="U60" s="237" t="str">
        <f>IF(AA60 = "", "", IF(OR($H60 = PARÂMETROS!$E$5, $H60 = ""), AA60, IF(OR(AA60 &lt; (1-VLOOKUP($H60,PARÂMETROS!$E:$F,2,FALSE))*$P60, AA60 &gt; (1+VLOOKUP($H60,PARÂMETROS!$E:$F,2,FALSE))*$P60),"",AA60)))</f>
        <v/>
      </c>
      <c r="V60" s="237" t="str">
        <f>IF(AG60 = "", "", IF(OR($H60 = PARÂMETROS!$E$5, $H60 = ""), AG60, IF(OR(AG60 &lt; (1-VLOOKUP($H60,PARÂMETROS!$E:$F,2,FALSE))*$P65, AG60 &gt; (1+VLOOKUP($H60,PARÂMETROS!$E:$F,2,FALSE))*$P60),"",AG60)))</f>
        <v/>
      </c>
      <c r="W60" s="237" t="str">
        <f>IF(AM60 = "", "", IF(OR($H60 = PARÂMETROS!$E$5, $H60 = ""), AM60, IF(OR(AM60 &lt; (1-VLOOKUP($H60,PARÂMETROS!$E:$F,2,FALSE))*$P60, AM60 &gt; (1+VLOOKUP($H60,PARÂMETROS!$E:$F,2,FALSE))*$P60),"",AM60)))</f>
        <v/>
      </c>
      <c r="X60" s="237" t="str">
        <f>IF(AS60 = "", "", IF(OR($H60 = PARÂMETROS!$E$5, $H60 = ""), AS60, IF(OR(AS60 &lt; (1-VLOOKUP($H60,PARÂMETROS!$E:$F,2,FALSE))*$P60, AS60 &gt; (1+VLOOKUP($H60,PARÂMETROS!$E:$F,2,FALSE))*$P60),"",AS60)))</f>
        <v/>
      </c>
      <c r="Y60" s="237" t="str">
        <f>IF(AY60 = "", "", IF(OR($H60 = PARÂMETROS!$E$5, $H60 = ""), AY60, IF(OR(AY60 &lt; (1-VLOOKUP($H60,PARÂMETROS!$E:$F,2,FALSE))*$P60, AY60 &gt; (1+VLOOKUP($H60,PARÂMETROS!$E:$F,2,FALSE))*$P60),"",AY60)))</f>
        <v/>
      </c>
      <c r="Z60" s="237" t="str">
        <f>IF(BE60 = "", "", IF(OR($H60 = PARÂMETROS!$E$5, $H60 = ""), BE60, IF(OR(BE60 &lt; (1-VLOOKUP($H60,PARÂMETROS!$E:$F,2,FALSE))*$P60, BE60 &gt; (1+VLOOKUP($H60,PARÂMETROS!$E:$F,2,FALSE))*$P60),"",BE60)))</f>
        <v/>
      </c>
      <c r="AA60" s="207"/>
      <c r="AB60" s="208"/>
      <c r="AC60" s="206" t="str">
        <f>IF(AND(OR(AA60="",AA60=0),OR(AA60="",AB60=0)),"",IF(OR(AA60="",AA60=0),"DEFINIR PREÇO",IF(OR(AB60="",AB60=0),"DEFINIR FORNECEDOR",IF(OR(AA60&lt;&gt;"",AA60&lt;&gt;0),VLOOKUP(AB60,#REF!,2,FALSE)))))</f>
        <v/>
      </c>
      <c r="AD60" s="217"/>
      <c r="AE60" s="218"/>
      <c r="AF60" s="220" t="str">
        <f t="shared" ca="1" si="7"/>
        <v/>
      </c>
      <c r="AG60" s="229"/>
      <c r="AH60" s="231"/>
      <c r="AI60" s="206" t="str">
        <f>IF(AND(OR(AG60="",AG60=0),OR(AG60="",AH60=0)),"",IF(OR(AG60="",AG60=0),"DEFINIR PREÇO",IF(OR(AH60="",AH60=0),"DEFINIR FORNECEDOR",IF(OR(AG60&lt;&gt;"",AG60&lt;&gt;0),VLOOKUP(AH60,#REF!,2,FALSE)))))</f>
        <v/>
      </c>
      <c r="AJ60" s="217"/>
      <c r="AK60" s="218"/>
      <c r="AL60" s="220" t="str">
        <f t="shared" ca="1" si="8"/>
        <v/>
      </c>
      <c r="AM60" s="229"/>
      <c r="AN60" s="231"/>
      <c r="AO60" s="206" t="str">
        <f>IF(AND(OR(AM60="",AM60=0),OR(AM60="",AN60=0)),"",IF(OR(AM60="",AM60=0),"DEFINIR PREÇO",IF(OR(AN60="",AN60=0),"DEFINIR FORNECEDOR",IF(OR(AM60&lt;&gt;"",AM60&lt;&gt;0),VLOOKUP(AN60,#REF!,2,FALSE)))))</f>
        <v/>
      </c>
      <c r="AP60" s="217"/>
      <c r="AQ60" s="218"/>
      <c r="AR60" s="220" t="str">
        <f t="shared" ca="1" si="9"/>
        <v/>
      </c>
      <c r="AS60" s="229"/>
      <c r="AT60" s="231"/>
      <c r="AU60" s="191" t="str">
        <f>IF(AND(OR(AS60="",AS60=0),OR(AS60="",AT60=0)),"",IF(OR(AS60="",AS60=0),"DEFINIR PREÇO",IF(OR(AT60="",AT60=0),"DEFINIR FORNECEDOR",IF(OR(AS60&lt;&gt;"",AS60&lt;&gt;0),VLOOKUP(AT60,#REF!,2,FALSE)))))</f>
        <v/>
      </c>
      <c r="AV60" s="217"/>
      <c r="AW60" s="218"/>
      <c r="AX60" s="220" t="str">
        <f t="shared" ca="1" si="10"/>
        <v/>
      </c>
      <c r="AY60" s="229"/>
      <c r="AZ60" s="234"/>
      <c r="BA60" s="209" t="str">
        <f>IF(AND(OR(AY60="",AY60=0),OR(AY60="",AZ60=0)),"",IF(OR(AY60="",AY60=0),"DEFINIR PREÇO",IF(OR(AZ60="",AZ60=0),"DEFINIR FORNECEDOR",IF(OR(AY60&lt;&gt;"",AY60&lt;&gt;0),VLOOKUP(AZ60,#REF!,2,FALSE)))))</f>
        <v/>
      </c>
      <c r="BB60" s="217"/>
      <c r="BC60" s="218"/>
      <c r="BD60" s="220" t="str">
        <f t="shared" ca="1" si="11"/>
        <v/>
      </c>
      <c r="BE60" s="195"/>
      <c r="BF60" s="196"/>
      <c r="BG60" s="194"/>
      <c r="BH60" s="194"/>
      <c r="BI60" s="194"/>
      <c r="BJ60" s="197"/>
    </row>
    <row r="61" spans="1:62" ht="30" x14ac:dyDescent="0.25">
      <c r="A61" s="44" t="s">
        <v>405</v>
      </c>
      <c r="B61" s="45" t="s">
        <v>169</v>
      </c>
      <c r="C61" s="45">
        <v>4</v>
      </c>
      <c r="D61" s="162" t="s">
        <v>163</v>
      </c>
      <c r="E61" s="45" t="s">
        <v>31</v>
      </c>
      <c r="F61" s="46" t="str">
        <f t="shared" ref="F61" si="39">J61</f>
        <v>DEFINIR CRITÉRIO</v>
      </c>
      <c r="G61" s="47" t="str">
        <f t="shared" si="35"/>
        <v>DEFINIR CRITÉRIO</v>
      </c>
      <c r="H61" s="240" t="s">
        <v>2000</v>
      </c>
      <c r="I61" s="240" t="s">
        <v>1999</v>
      </c>
      <c r="J61" s="242" t="str">
        <f>IFERROR(IF(N61&lt;&gt;"",M61,IF(I61 = PARÂMETROS!$B$5,Q61, IF(I61 = PARÂMETROS!$B$6,R61,IF(I61 = PARÂMETROS!$B$7,S61,IF(I61 = PARÂMETROS!$B$8, T61,"DEFINIR CRITÉRIO"))))),"SEM PREÇO")</f>
        <v>DEFINIR CRITÉRIO</v>
      </c>
      <c r="K61" s="241" t="str">
        <f t="shared" si="0"/>
        <v/>
      </c>
      <c r="L61" s="238" t="str">
        <f t="shared" si="1"/>
        <v/>
      </c>
      <c r="M61" s="51"/>
      <c r="N61" s="52"/>
      <c r="O61" s="53"/>
      <c r="P61" s="235">
        <f t="shared" si="2"/>
        <v>125.74333333333334</v>
      </c>
      <c r="Q61" s="236">
        <f t="shared" si="3"/>
        <v>0</v>
      </c>
      <c r="R61" s="236">
        <f t="shared" si="4"/>
        <v>0</v>
      </c>
      <c r="S61" s="236">
        <f t="shared" si="5"/>
        <v>0</v>
      </c>
      <c r="T61" s="236">
        <f t="shared" si="6"/>
        <v>0</v>
      </c>
      <c r="U61" s="237" t="e">
        <f>IF(AA61 = "", "", IF(OR($H61 = PARÂMETROS!$E$5, $H61 = ""), AA61, IF(OR(AA61 &lt; (1-VLOOKUP($H61,PARÂMETROS!$E:$F,2,FALSE))*$P61, AA61 &gt; (1+VLOOKUP($H61,PARÂMETROS!$E:$F,2,FALSE))*$P61),"",AA61)))</f>
        <v>#N/A</v>
      </c>
      <c r="V61" s="237" t="e">
        <f>IF(AG61 = "", "", IF(OR($H61 = PARÂMETROS!$E$5, $H61 = ""), AG61, IF(OR(AG61 &lt; (1-VLOOKUP($H61,PARÂMETROS!$E:$F,2,FALSE))*$P66, AG61 &gt; (1+VLOOKUP($H61,PARÂMETROS!$E:$F,2,FALSE))*$P61),"",AG61)))</f>
        <v>#N/A</v>
      </c>
      <c r="W61" s="237" t="e">
        <f>IF(AM61 = "", "", IF(OR($H61 = PARÂMETROS!$E$5, $H61 = ""), AM61, IF(OR(AM61 &lt; (1-VLOOKUP($H61,PARÂMETROS!$E:$F,2,FALSE))*$P61, AM61 &gt; (1+VLOOKUP($H61,PARÂMETROS!$E:$F,2,FALSE))*$P61),"",AM61)))</f>
        <v>#N/A</v>
      </c>
      <c r="X61" s="237" t="str">
        <f>IF(AS61 = "", "", IF(OR($H61 = PARÂMETROS!$E$5, $H61 = ""), AS61, IF(OR(AS61 &lt; (1-VLOOKUP($H61,PARÂMETROS!$E:$F,2,FALSE))*$P61, AS61 &gt; (1+VLOOKUP($H61,PARÂMETROS!$E:$F,2,FALSE))*$P61),"",AS61)))</f>
        <v/>
      </c>
      <c r="Y61" s="237" t="str">
        <f>IF(AY61 = "", "", IF(OR($H61 = PARÂMETROS!$E$5, $H61 = ""), AY61, IF(OR(AY61 &lt; (1-VLOOKUP($H61,PARÂMETROS!$E:$F,2,FALSE))*$P61, AY61 &gt; (1+VLOOKUP($H61,PARÂMETROS!$E:$F,2,FALSE))*$P61),"",AY61)))</f>
        <v/>
      </c>
      <c r="Z61" s="237" t="str">
        <f>IF(BE61 = "", "", IF(OR($H61 = PARÂMETROS!$E$5, $H61 = ""), BE61, IF(OR(BE61 &lt; (1-VLOOKUP($H61,PARÂMETROS!$E:$F,2,FALSE))*$P61, BE61 &gt; (1+VLOOKUP($H61,PARÂMETROS!$E:$F,2,FALSE))*$P61),"",BE61)))</f>
        <v/>
      </c>
      <c r="AA61" s="207">
        <v>146.22999999999999</v>
      </c>
      <c r="AB61" s="208">
        <v>1080</v>
      </c>
      <c r="AC61" s="206" t="e">
        <f>IF(AND(OR(AA61="",AA61=0),OR(AA61="",AB61=0)),"",IF(OR(AA61="",AA61=0),"DEFINIR PREÇO",IF(OR(AB61="",AB61=0),"DEFINIR FORNECEDOR",IF(OR(AA61&lt;&gt;"",AA61&lt;&gt;0),VLOOKUP(AB61,#REF!,2,FALSE)))))</f>
        <v>#REF!</v>
      </c>
      <c r="AD61" s="217" t="s">
        <v>1977</v>
      </c>
      <c r="AE61" s="218">
        <v>44929</v>
      </c>
      <c r="AF61" s="220" t="str">
        <f t="shared" ca="1" si="7"/>
        <v>DESATUALIZADA</v>
      </c>
      <c r="AG61" s="229">
        <v>127</v>
      </c>
      <c r="AH61" s="231">
        <v>975</v>
      </c>
      <c r="AI61" s="206" t="e">
        <f>IF(AND(OR(AG61="",AG61=0),OR(AG61="",AH61=0)),"",IF(OR(AG61="",AG61=0),"DEFINIR PREÇO",IF(OR(AH61="",AH61=0),"DEFINIR FORNECEDOR",IF(OR(AG61&lt;&gt;"",AG61&lt;&gt;0),VLOOKUP(AH61,#REF!,2,FALSE)))))</f>
        <v>#REF!</v>
      </c>
      <c r="AJ61" s="217" t="s">
        <v>1977</v>
      </c>
      <c r="AK61" s="218">
        <v>44929</v>
      </c>
      <c r="AL61" s="220" t="str">
        <f t="shared" ca="1" si="8"/>
        <v>DESATUALIZADA</v>
      </c>
      <c r="AM61" s="229">
        <v>104</v>
      </c>
      <c r="AN61" s="231">
        <v>1857</v>
      </c>
      <c r="AO61" s="206" t="e">
        <f>IF(AND(OR(AM61="",AM61=0),OR(AM61="",AN61=0)),"",IF(OR(AM61="",AM61=0),"DEFINIR PREÇO",IF(OR(AN61="",AN61=0),"DEFINIR FORNECEDOR",IF(OR(AM61&lt;&gt;"",AM61&lt;&gt;0),VLOOKUP(AN61,#REF!,2,FALSE)))))</f>
        <v>#REF!</v>
      </c>
      <c r="AP61" s="217" t="s">
        <v>1977</v>
      </c>
      <c r="AQ61" s="218">
        <v>44929</v>
      </c>
      <c r="AR61" s="220" t="str">
        <f t="shared" ca="1" si="9"/>
        <v>DESATUALIZADA</v>
      </c>
      <c r="AS61" s="229"/>
      <c r="AT61" s="231"/>
      <c r="AU61" s="191" t="str">
        <f>IF(AND(OR(AS61="",AS61=0),OR(AS61="",AT61=0)),"",IF(OR(AS61="",AS61=0),"DEFINIR PREÇO",IF(OR(AT61="",AT61=0),"DEFINIR FORNECEDOR",IF(OR(AS61&lt;&gt;"",AS61&lt;&gt;0),VLOOKUP(AT61,#REF!,2,FALSE)))))</f>
        <v/>
      </c>
      <c r="AV61" s="217"/>
      <c r="AW61" s="218"/>
      <c r="AX61" s="220" t="str">
        <f t="shared" ca="1" si="10"/>
        <v/>
      </c>
      <c r="AY61" s="229"/>
      <c r="AZ61" s="234"/>
      <c r="BA61" s="209" t="str">
        <f>IF(AND(OR(AY61="",AY61=0),OR(AY61="",AZ61=0)),"",IF(OR(AY61="",AY61=0),"DEFINIR PREÇO",IF(OR(AZ61="",AZ61=0),"DEFINIR FORNECEDOR",IF(OR(AY61&lt;&gt;"",AY61&lt;&gt;0),VLOOKUP(AZ61,#REF!,2,FALSE)))))</f>
        <v/>
      </c>
      <c r="BB61" s="217"/>
      <c r="BC61" s="218"/>
      <c r="BD61" s="220" t="str">
        <f t="shared" ca="1" si="11"/>
        <v/>
      </c>
      <c r="BE61" s="195"/>
      <c r="BF61" s="196"/>
      <c r="BG61" s="194"/>
      <c r="BH61" s="192"/>
      <c r="BI61" s="192"/>
      <c r="BJ61" s="193"/>
    </row>
    <row r="62" spans="1:62" ht="30" x14ac:dyDescent="0.25">
      <c r="A62" s="44" t="s">
        <v>405</v>
      </c>
      <c r="B62" s="58" t="s">
        <v>357</v>
      </c>
      <c r="C62" s="45">
        <v>4</v>
      </c>
      <c r="D62" s="162" t="s">
        <v>354</v>
      </c>
      <c r="E62" s="45" t="s">
        <v>23</v>
      </c>
      <c r="F62" s="46" t="str">
        <f>J62</f>
        <v>DEFINIR CRITÉRIO</v>
      </c>
      <c r="G62" s="47" t="str">
        <f>J62</f>
        <v>DEFINIR CRITÉRIO</v>
      </c>
      <c r="H62" s="240" t="s">
        <v>2000</v>
      </c>
      <c r="I62" s="240" t="s">
        <v>2001</v>
      </c>
      <c r="J62" s="242" t="str">
        <f>IFERROR(IF(N62&lt;&gt;"",M62,IF(I62 = PARÂMETROS!$B$5,Q62, IF(I62 = PARÂMETROS!$B$6,R62,IF(I62 = PARÂMETROS!$B$7,S62,IF(I62 = PARÂMETROS!$B$8, T62,"DEFINIR CRITÉRIO"))))),"SEM PREÇO")</f>
        <v>DEFINIR CRITÉRIO</v>
      </c>
      <c r="K62" s="241" t="str">
        <f t="shared" si="0"/>
        <v/>
      </c>
      <c r="L62" s="238" t="str">
        <f t="shared" si="1"/>
        <v/>
      </c>
      <c r="M62" s="51"/>
      <c r="N62" s="52"/>
      <c r="O62" s="53"/>
      <c r="P62" s="235">
        <f t="shared" si="2"/>
        <v>401.66666666666669</v>
      </c>
      <c r="Q62" s="236">
        <f t="shared" si="3"/>
        <v>0</v>
      </c>
      <c r="R62" s="236">
        <f t="shared" si="4"/>
        <v>0</v>
      </c>
      <c r="S62" s="236">
        <f t="shared" si="5"/>
        <v>0</v>
      </c>
      <c r="T62" s="236">
        <f t="shared" si="6"/>
        <v>0</v>
      </c>
      <c r="U62" s="237" t="e">
        <f>IF(AA62 = "", "", IF(OR($H62 = PARÂMETROS!$E$5, $H62 = ""), AA62, IF(OR(AA62 &lt; (1-VLOOKUP($H62,PARÂMETROS!$E:$F,2,FALSE))*$P62, AA62 &gt; (1+VLOOKUP($H62,PARÂMETROS!$E:$F,2,FALSE))*$P62),"",AA62)))</f>
        <v>#N/A</v>
      </c>
      <c r="V62" s="237" t="e">
        <f>IF(AG62 = "", "", IF(OR($H62 = PARÂMETROS!$E$5, $H62 = ""), AG62, IF(OR(AG62 &lt; (1-VLOOKUP($H62,PARÂMETROS!$E:$F,2,FALSE))*$P67, AG62 &gt; (1+VLOOKUP($H62,PARÂMETROS!$E:$F,2,FALSE))*$P62),"",AG62)))</f>
        <v>#N/A</v>
      </c>
      <c r="W62" s="237" t="e">
        <f>IF(AM62 = "", "", IF(OR($H62 = PARÂMETROS!$E$5, $H62 = ""), AM62, IF(OR(AM62 &lt; (1-VLOOKUP($H62,PARÂMETROS!$E:$F,2,FALSE))*$P62, AM62 &gt; (1+VLOOKUP($H62,PARÂMETROS!$E:$F,2,FALSE))*$P62),"",AM62)))</f>
        <v>#N/A</v>
      </c>
      <c r="X62" s="237" t="str">
        <f>IF(AS62 = "", "", IF(OR($H62 = PARÂMETROS!$E$5, $H62 = ""), AS62, IF(OR(AS62 &lt; (1-VLOOKUP($H62,PARÂMETROS!$E:$F,2,FALSE))*$P62, AS62 &gt; (1+VLOOKUP($H62,PARÂMETROS!$E:$F,2,FALSE))*$P62),"",AS62)))</f>
        <v/>
      </c>
      <c r="Y62" s="237" t="str">
        <f>IF(AY62 = "", "", IF(OR($H62 = PARÂMETROS!$E$5, $H62 = ""), AY62, IF(OR(AY62 &lt; (1-VLOOKUP($H62,PARÂMETROS!$E:$F,2,FALSE))*$P62, AY62 &gt; (1+VLOOKUP($H62,PARÂMETROS!$E:$F,2,FALSE))*$P62),"",AY62)))</f>
        <v/>
      </c>
      <c r="Z62" s="237" t="str">
        <f>IF(BE62 = "", "", IF(OR($H62 = PARÂMETROS!$E$5, $H62 = ""), BE62, IF(OR(BE62 &lt; (1-VLOOKUP($H62,PARÂMETROS!$E:$F,2,FALSE))*$P62, BE62 &gt; (1+VLOOKUP($H62,PARÂMETROS!$E:$F,2,FALSE))*$P62),"",BE62)))</f>
        <v/>
      </c>
      <c r="AA62" s="207">
        <v>195</v>
      </c>
      <c r="AB62" s="208">
        <v>961</v>
      </c>
      <c r="AC62" s="206" t="e">
        <f>IF(AND(OR(AA62="",AA62=0),OR(AA62="",AB62=0)),"",IF(OR(AA62="",AA62=0),"DEFINIR PREÇO",IF(OR(AB62="",AB62=0),"DEFINIR FORNECEDOR",IF(OR(AA62&lt;&gt;"",AA62&lt;&gt;0),VLOOKUP(AB62,#REF!,2,FALSE)))))</f>
        <v>#REF!</v>
      </c>
      <c r="AD62" s="217" t="s">
        <v>1977</v>
      </c>
      <c r="AE62" s="218">
        <v>44932</v>
      </c>
      <c r="AF62" s="220" t="str">
        <f t="shared" ca="1" si="7"/>
        <v>DESATUALIZADA</v>
      </c>
      <c r="AG62" s="229">
        <v>690</v>
      </c>
      <c r="AH62" s="231">
        <v>985</v>
      </c>
      <c r="AI62" s="206" t="e">
        <f>IF(AND(OR(AG62="",AG62=0),OR(AG62="",AH62=0)),"",IF(OR(AG62="",AG62=0),"DEFINIR PREÇO",IF(OR(AH62="",AH62=0),"DEFINIR FORNECEDOR",IF(OR(AG62&lt;&gt;"",AG62&lt;&gt;0),VLOOKUP(AH62,#REF!,2,FALSE)))))</f>
        <v>#REF!</v>
      </c>
      <c r="AJ62" s="217" t="s">
        <v>1977</v>
      </c>
      <c r="AK62" s="218">
        <v>44932</v>
      </c>
      <c r="AL62" s="220" t="str">
        <f t="shared" ca="1" si="8"/>
        <v>DESATUALIZADA</v>
      </c>
      <c r="AM62" s="229">
        <v>320</v>
      </c>
      <c r="AN62" s="231">
        <v>2198</v>
      </c>
      <c r="AO62" s="206" t="e">
        <f>IF(AND(OR(AM62="",AM62=0),OR(AM62="",AN62=0)),"",IF(OR(AM62="",AM62=0),"DEFINIR PREÇO",IF(OR(AN62="",AN62=0),"DEFINIR FORNECEDOR",IF(OR(AM62&lt;&gt;"",AM62&lt;&gt;0),VLOOKUP(AN62,#REF!,2,FALSE)))))</f>
        <v>#REF!</v>
      </c>
      <c r="AP62" s="217" t="s">
        <v>1977</v>
      </c>
      <c r="AQ62" s="218">
        <v>44932</v>
      </c>
      <c r="AR62" s="220" t="str">
        <f t="shared" ca="1" si="9"/>
        <v>DESATUALIZADA</v>
      </c>
      <c r="AS62" s="229"/>
      <c r="AT62" s="231"/>
      <c r="AU62" s="191" t="str">
        <f>IF(AND(OR(AS62="",AS62=0),OR(AS62="",AT62=0)),"",IF(OR(AS62="",AS62=0),"DEFINIR PREÇO",IF(OR(AT62="",AT62=0),"DEFINIR FORNECEDOR",IF(OR(AS62&lt;&gt;"",AS62&lt;&gt;0),VLOOKUP(AT62,#REF!,2,FALSE)))))</f>
        <v/>
      </c>
      <c r="AV62" s="217"/>
      <c r="AW62" s="218"/>
      <c r="AX62" s="220" t="str">
        <f t="shared" ca="1" si="10"/>
        <v/>
      </c>
      <c r="AY62" s="229"/>
      <c r="AZ62" s="234"/>
      <c r="BA62" s="209" t="str">
        <f>IF(AND(OR(AY62="",AY62=0),OR(AY62="",AZ62=0)),"",IF(OR(AY62="",AY62=0),"DEFINIR PREÇO",IF(OR(AZ62="",AZ62=0),"DEFINIR FORNECEDOR",IF(OR(AY62&lt;&gt;"",AY62&lt;&gt;0),VLOOKUP(AZ62,#REF!,2,FALSE)))))</f>
        <v/>
      </c>
      <c r="BB62" s="217"/>
      <c r="BC62" s="218"/>
      <c r="BD62" s="220" t="str">
        <f t="shared" ca="1" si="11"/>
        <v/>
      </c>
      <c r="BE62" s="195"/>
      <c r="BF62" s="196"/>
      <c r="BG62" s="194"/>
      <c r="BH62" s="194"/>
      <c r="BI62" s="194"/>
      <c r="BJ62" s="197"/>
    </row>
    <row r="63" spans="1:62" ht="30" x14ac:dyDescent="0.25">
      <c r="A63" s="44" t="s">
        <v>405</v>
      </c>
      <c r="B63" s="58" t="s">
        <v>358</v>
      </c>
      <c r="C63" s="45">
        <v>4</v>
      </c>
      <c r="D63" s="162" t="s">
        <v>355</v>
      </c>
      <c r="E63" s="45" t="s">
        <v>23</v>
      </c>
      <c r="F63" s="46" t="str">
        <f t="shared" ref="F63:F74" si="40">J63</f>
        <v>DEFINIR CRITÉRIO</v>
      </c>
      <c r="G63" s="47" t="str">
        <f t="shared" ref="G63:G74" si="41">J63</f>
        <v>DEFINIR CRITÉRIO</v>
      </c>
      <c r="H63" s="240" t="s">
        <v>2000</v>
      </c>
      <c r="I63" s="240" t="s">
        <v>2001</v>
      </c>
      <c r="J63" s="242" t="str">
        <f>IFERROR(IF(N63&lt;&gt;"",M63,IF(I63 = PARÂMETROS!$B$5,Q63, IF(I63 = PARÂMETROS!$B$6,R63,IF(I63 = PARÂMETROS!$B$7,S63,IF(I63 = PARÂMETROS!$B$8, T63,"DEFINIR CRITÉRIO"))))),"SEM PREÇO")</f>
        <v>DEFINIR CRITÉRIO</v>
      </c>
      <c r="K63" s="241" t="str">
        <f t="shared" si="0"/>
        <v/>
      </c>
      <c r="L63" s="238" t="str">
        <f t="shared" si="1"/>
        <v/>
      </c>
      <c r="M63" s="51"/>
      <c r="N63" s="52"/>
      <c r="O63" s="53"/>
      <c r="P63" s="235">
        <f t="shared" si="2"/>
        <v>397.33333333333331</v>
      </c>
      <c r="Q63" s="236">
        <f t="shared" si="3"/>
        <v>0</v>
      </c>
      <c r="R63" s="236">
        <f t="shared" si="4"/>
        <v>0</v>
      </c>
      <c r="S63" s="236">
        <f t="shared" si="5"/>
        <v>0</v>
      </c>
      <c r="T63" s="236">
        <f t="shared" si="6"/>
        <v>0</v>
      </c>
      <c r="U63" s="237" t="e">
        <f>IF(AA63 = "", "", IF(OR($H63 = PARÂMETROS!$E$5, $H63 = ""), AA63, IF(OR(AA63 &lt; (1-VLOOKUP($H63,PARÂMETROS!$E:$F,2,FALSE))*$P63, AA63 &gt; (1+VLOOKUP($H63,PARÂMETROS!$E:$F,2,FALSE))*$P63),"",AA63)))</f>
        <v>#N/A</v>
      </c>
      <c r="V63" s="237" t="e">
        <f>IF(AG63 = "", "", IF(OR($H63 = PARÂMETROS!$E$5, $H63 = ""), AG63, IF(OR(AG63 &lt; (1-VLOOKUP($H63,PARÂMETROS!$E:$F,2,FALSE))*$P68, AG63 &gt; (1+VLOOKUP($H63,PARÂMETROS!$E:$F,2,FALSE))*$P63),"",AG63)))</f>
        <v>#N/A</v>
      </c>
      <c r="W63" s="237" t="e">
        <f>IF(AM63 = "", "", IF(OR($H63 = PARÂMETROS!$E$5, $H63 = ""), AM63, IF(OR(AM63 &lt; (1-VLOOKUP($H63,PARÂMETROS!$E:$F,2,FALSE))*$P63, AM63 &gt; (1+VLOOKUP($H63,PARÂMETROS!$E:$F,2,FALSE))*$P63),"",AM63)))</f>
        <v>#N/A</v>
      </c>
      <c r="X63" s="237" t="str">
        <f>IF(AS63 = "", "", IF(OR($H63 = PARÂMETROS!$E$5, $H63 = ""), AS63, IF(OR(AS63 &lt; (1-VLOOKUP($H63,PARÂMETROS!$E:$F,2,FALSE))*$P63, AS63 &gt; (1+VLOOKUP($H63,PARÂMETROS!$E:$F,2,FALSE))*$P63),"",AS63)))</f>
        <v/>
      </c>
      <c r="Y63" s="237" t="str">
        <f>IF(AY63 = "", "", IF(OR($H63 = PARÂMETROS!$E$5, $H63 = ""), AY63, IF(OR(AY63 &lt; (1-VLOOKUP($H63,PARÂMETROS!$E:$F,2,FALSE))*$P63, AY63 &gt; (1+VLOOKUP($H63,PARÂMETROS!$E:$F,2,FALSE))*$P63),"",AY63)))</f>
        <v/>
      </c>
      <c r="Z63" s="237" t="str">
        <f>IF(BE63 = "", "", IF(OR($H63 = PARÂMETROS!$E$5, $H63 = ""), BE63, IF(OR(BE63 &lt; (1-VLOOKUP($H63,PARÂMETROS!$E:$F,2,FALSE))*$P63, BE63 &gt; (1+VLOOKUP($H63,PARÂMETROS!$E:$F,2,FALSE))*$P63),"",BE63)))</f>
        <v/>
      </c>
      <c r="AA63" s="207">
        <v>298</v>
      </c>
      <c r="AB63" s="208">
        <v>961</v>
      </c>
      <c r="AC63" s="206" t="e">
        <f>IF(AND(OR(AA63="",AA63=0),OR(AA63="",AB63=0)),"",IF(OR(AA63="",AA63=0),"DEFINIR PREÇO",IF(OR(AB63="",AB63=0),"DEFINIR FORNECEDOR",IF(OR(AA63&lt;&gt;"",AA63&lt;&gt;0),VLOOKUP(AB63,#REF!,2,FALSE)))))</f>
        <v>#REF!</v>
      </c>
      <c r="AD63" s="217" t="s">
        <v>1977</v>
      </c>
      <c r="AE63" s="218">
        <v>44932</v>
      </c>
      <c r="AF63" s="220" t="str">
        <f t="shared" ca="1" si="7"/>
        <v>DESATUALIZADA</v>
      </c>
      <c r="AG63" s="229">
        <v>599</v>
      </c>
      <c r="AH63" s="231">
        <v>985</v>
      </c>
      <c r="AI63" s="206" t="e">
        <f>IF(AND(OR(AG63="",AG63=0),OR(AG63="",AH63=0)),"",IF(OR(AG63="",AG63=0),"DEFINIR PREÇO",IF(OR(AH63="",AH63=0),"DEFINIR FORNECEDOR",IF(OR(AG63&lt;&gt;"",AG63&lt;&gt;0),VLOOKUP(AH63,#REF!,2,FALSE)))))</f>
        <v>#REF!</v>
      </c>
      <c r="AJ63" s="217" t="s">
        <v>1977</v>
      </c>
      <c r="AK63" s="218">
        <v>44932</v>
      </c>
      <c r="AL63" s="220" t="str">
        <f t="shared" ca="1" si="8"/>
        <v>DESATUALIZADA</v>
      </c>
      <c r="AM63" s="229">
        <v>295</v>
      </c>
      <c r="AN63" s="231">
        <v>2198</v>
      </c>
      <c r="AO63" s="206" t="e">
        <f>IF(AND(OR(AM63="",AM63=0),OR(AM63="",AN63=0)),"",IF(OR(AM63="",AM63=0),"DEFINIR PREÇO",IF(OR(AN63="",AN63=0),"DEFINIR FORNECEDOR",IF(OR(AM63&lt;&gt;"",AM63&lt;&gt;0),VLOOKUP(AN63,#REF!,2,FALSE)))))</f>
        <v>#REF!</v>
      </c>
      <c r="AP63" s="217" t="s">
        <v>1977</v>
      </c>
      <c r="AQ63" s="218">
        <v>44932</v>
      </c>
      <c r="AR63" s="220" t="str">
        <f t="shared" ca="1" si="9"/>
        <v>DESATUALIZADA</v>
      </c>
      <c r="AS63" s="229"/>
      <c r="AT63" s="231"/>
      <c r="AU63" s="191" t="str">
        <f>IF(AND(OR(AS63="",AS63=0),OR(AS63="",AT63=0)),"",IF(OR(AS63="",AS63=0),"DEFINIR PREÇO",IF(OR(AT63="",AT63=0),"DEFINIR FORNECEDOR",IF(OR(AS63&lt;&gt;"",AS63&lt;&gt;0),VLOOKUP(AT63,#REF!,2,FALSE)))))</f>
        <v/>
      </c>
      <c r="AV63" s="217"/>
      <c r="AW63" s="218"/>
      <c r="AX63" s="220" t="str">
        <f t="shared" ca="1" si="10"/>
        <v/>
      </c>
      <c r="AY63" s="229"/>
      <c r="AZ63" s="234"/>
      <c r="BA63" s="209" t="str">
        <f>IF(AND(OR(AY63="",AY63=0),OR(AY63="",AZ63=0)),"",IF(OR(AY63="",AY63=0),"DEFINIR PREÇO",IF(OR(AZ63="",AZ63=0),"DEFINIR FORNECEDOR",IF(OR(AY63&lt;&gt;"",AY63&lt;&gt;0),VLOOKUP(AZ63,#REF!,2,FALSE)))))</f>
        <v/>
      </c>
      <c r="BB63" s="217"/>
      <c r="BC63" s="218"/>
      <c r="BD63" s="220" t="str">
        <f t="shared" ca="1" si="11"/>
        <v/>
      </c>
      <c r="BE63" s="195"/>
      <c r="BF63" s="196"/>
      <c r="BG63" s="194"/>
      <c r="BH63" s="194"/>
      <c r="BI63" s="194"/>
      <c r="BJ63" s="197"/>
    </row>
    <row r="64" spans="1:62" ht="30" x14ac:dyDescent="0.25">
      <c r="A64" s="44" t="s">
        <v>405</v>
      </c>
      <c r="B64" s="58" t="s">
        <v>363</v>
      </c>
      <c r="C64" s="45">
        <v>4</v>
      </c>
      <c r="D64" s="55" t="s">
        <v>356</v>
      </c>
      <c r="E64" s="45" t="s">
        <v>23</v>
      </c>
      <c r="F64" s="46" t="str">
        <f t="shared" si="40"/>
        <v>DEFINIR CRITÉRIO</v>
      </c>
      <c r="G64" s="47" t="str">
        <f t="shared" si="41"/>
        <v>DEFINIR CRITÉRIO</v>
      </c>
      <c r="H64" s="240" t="s">
        <v>2000</v>
      </c>
      <c r="I64" s="240" t="s">
        <v>1999</v>
      </c>
      <c r="J64" s="242" t="str">
        <f>IFERROR(IF(N64&lt;&gt;"",M64,IF(I64 = PARÂMETROS!$B$5,Q64, IF(I64 = PARÂMETROS!$B$6,R64,IF(I64 = PARÂMETROS!$B$7,S64,IF(I64 = PARÂMETROS!$B$8, T64,"DEFINIR CRITÉRIO"))))),"SEM PREÇO")</f>
        <v>DEFINIR CRITÉRIO</v>
      </c>
      <c r="K64" s="241" t="str">
        <f t="shared" si="0"/>
        <v/>
      </c>
      <c r="L64" s="238" t="str">
        <f t="shared" si="1"/>
        <v/>
      </c>
      <c r="M64" s="51"/>
      <c r="N64" s="52"/>
      <c r="O64" s="53"/>
      <c r="P64" s="235">
        <f t="shared" si="2"/>
        <v>339.31333333333333</v>
      </c>
      <c r="Q64" s="236">
        <f t="shared" si="3"/>
        <v>0</v>
      </c>
      <c r="R64" s="236">
        <f t="shared" si="4"/>
        <v>0</v>
      </c>
      <c r="S64" s="236">
        <f t="shared" si="5"/>
        <v>0</v>
      </c>
      <c r="T64" s="236">
        <f t="shared" si="6"/>
        <v>0</v>
      </c>
      <c r="U64" s="237" t="e">
        <f>IF(AA64 = "", "", IF(OR($H64 = PARÂMETROS!$E$5, $H64 = ""), AA64, IF(OR(AA64 &lt; (1-VLOOKUP($H64,PARÂMETROS!$E:$F,2,FALSE))*$P64, AA64 &gt; (1+VLOOKUP($H64,PARÂMETROS!$E:$F,2,FALSE))*$P64),"",AA64)))</f>
        <v>#N/A</v>
      </c>
      <c r="V64" s="237" t="e">
        <f>IF(AG64 = "", "", IF(OR($H64 = PARÂMETROS!$E$5, $H64 = ""), AG64, IF(OR(AG64 &lt; (1-VLOOKUP($H64,PARÂMETROS!$E:$F,2,FALSE))*$P69, AG64 &gt; (1+VLOOKUP($H64,PARÂMETROS!$E:$F,2,FALSE))*$P64),"",AG64)))</f>
        <v>#N/A</v>
      </c>
      <c r="W64" s="237" t="e">
        <f>IF(AM64 = "", "", IF(OR($H64 = PARÂMETROS!$E$5, $H64 = ""), AM64, IF(OR(AM64 &lt; (1-VLOOKUP($H64,PARÂMETROS!$E:$F,2,FALSE))*$P64, AM64 &gt; (1+VLOOKUP($H64,PARÂMETROS!$E:$F,2,FALSE))*$P64),"",AM64)))</f>
        <v>#N/A</v>
      </c>
      <c r="X64" s="237" t="str">
        <f>IF(AS64 = "", "", IF(OR($H64 = PARÂMETROS!$E$5, $H64 = ""), AS64, IF(OR(AS64 &lt; (1-VLOOKUP($H64,PARÂMETROS!$E:$F,2,FALSE))*$P64, AS64 &gt; (1+VLOOKUP($H64,PARÂMETROS!$E:$F,2,FALSE))*$P64),"",AS64)))</f>
        <v/>
      </c>
      <c r="Y64" s="237" t="str">
        <f>IF(AY64 = "", "", IF(OR($H64 = PARÂMETROS!$E$5, $H64 = ""), AY64, IF(OR(AY64 &lt; (1-VLOOKUP($H64,PARÂMETROS!$E:$F,2,FALSE))*$P64, AY64 &gt; (1+VLOOKUP($H64,PARÂMETROS!$E:$F,2,FALSE))*$P64),"",AY64)))</f>
        <v/>
      </c>
      <c r="Z64" s="237" t="str">
        <f>IF(BE64 = "", "", IF(OR($H64 = PARÂMETROS!$E$5, $H64 = ""), BE64, IF(OR(BE64 &lt; (1-VLOOKUP($H64,PARÂMETROS!$E:$F,2,FALSE))*$P64, BE64 &gt; (1+VLOOKUP($H64,PARÂMETROS!$E:$F,2,FALSE))*$P64),"",BE64)))</f>
        <v/>
      </c>
      <c r="AA64" s="207">
        <v>380</v>
      </c>
      <c r="AB64" s="208">
        <v>961</v>
      </c>
      <c r="AC64" s="206" t="e">
        <f>IF(AND(OR(AA64="",AA64=0),OR(AA64="",AB64=0)),"",IF(OR(AA64="",AA64=0),"DEFINIR PREÇO",IF(OR(AB64="",AB64=0),"DEFINIR FORNECEDOR",IF(OR(AA64&lt;&gt;"",AA64&lt;&gt;0),VLOOKUP(AB64,#REF!,2,FALSE)))))</f>
        <v>#REF!</v>
      </c>
      <c r="AD64" s="217" t="s">
        <v>1977</v>
      </c>
      <c r="AE64" s="218">
        <v>44932</v>
      </c>
      <c r="AF64" s="220" t="str">
        <f t="shared" ca="1" si="7"/>
        <v>DESATUALIZADA</v>
      </c>
      <c r="AG64" s="229">
        <v>350</v>
      </c>
      <c r="AH64" s="231">
        <v>2198</v>
      </c>
      <c r="AI64" s="206" t="e">
        <f>IF(AND(OR(AG64="",AG64=0),OR(AG64="",AH64=0)),"",IF(OR(AG64="",AG64=0),"DEFINIR PREÇO",IF(OR(AH64="",AH64=0),"DEFINIR FORNECEDOR",IF(OR(AG64&lt;&gt;"",AG64&lt;&gt;0),VLOOKUP(AH64,#REF!,2,FALSE)))))</f>
        <v>#REF!</v>
      </c>
      <c r="AJ64" s="217" t="s">
        <v>1977</v>
      </c>
      <c r="AK64" s="218">
        <v>44932</v>
      </c>
      <c r="AL64" s="220" t="str">
        <f t="shared" ca="1" si="8"/>
        <v>DESATUALIZADA</v>
      </c>
      <c r="AM64" s="229">
        <v>287.94</v>
      </c>
      <c r="AN64" s="231">
        <v>1040</v>
      </c>
      <c r="AO64" s="206" t="e">
        <f>IF(AND(OR(AM64="",AM64=0),OR(AM64="",AN64=0)),"",IF(OR(AM64="",AM64=0),"DEFINIR PREÇO",IF(OR(AN64="",AN64=0),"DEFINIR FORNECEDOR",IF(OR(AM64&lt;&gt;"",AM64&lt;&gt;0),VLOOKUP(AN64,#REF!,2,FALSE)))))</f>
        <v>#REF!</v>
      </c>
      <c r="AP64" s="217" t="s">
        <v>1977</v>
      </c>
      <c r="AQ64" s="218">
        <v>44935</v>
      </c>
      <c r="AR64" s="220" t="str">
        <f t="shared" ca="1" si="9"/>
        <v>DESATUALIZADA</v>
      </c>
      <c r="AS64" s="229"/>
      <c r="AT64" s="231"/>
      <c r="AU64" s="191" t="str">
        <f>IF(AND(OR(AS64="",AS64=0),OR(AS64="",AT64=0)),"",IF(OR(AS64="",AS64=0),"DEFINIR PREÇO",IF(OR(AT64="",AT64=0),"DEFINIR FORNECEDOR",IF(OR(AS64&lt;&gt;"",AS64&lt;&gt;0),VLOOKUP(AT64,#REF!,2,FALSE)))))</f>
        <v/>
      </c>
      <c r="AV64" s="217"/>
      <c r="AW64" s="218"/>
      <c r="AX64" s="220" t="str">
        <f t="shared" ca="1" si="10"/>
        <v/>
      </c>
      <c r="AY64" s="229"/>
      <c r="AZ64" s="234"/>
      <c r="BA64" s="209" t="str">
        <f>IF(AND(OR(AY64="",AY64=0),OR(AY64="",AZ64=0)),"",IF(OR(AY64="",AY64=0),"DEFINIR PREÇO",IF(OR(AZ64="",AZ64=0),"DEFINIR FORNECEDOR",IF(OR(AY64&lt;&gt;"",AY64&lt;&gt;0),VLOOKUP(AZ64,#REF!,2,FALSE)))))</f>
        <v/>
      </c>
      <c r="BB64" s="217"/>
      <c r="BC64" s="218"/>
      <c r="BD64" s="220" t="str">
        <f t="shared" ca="1" si="11"/>
        <v/>
      </c>
      <c r="BE64" s="195"/>
      <c r="BF64" s="196"/>
      <c r="BG64" s="194"/>
      <c r="BH64" s="194"/>
      <c r="BI64" s="194"/>
      <c r="BJ64" s="197"/>
    </row>
    <row r="65" spans="1:62" ht="30" x14ac:dyDescent="0.25">
      <c r="A65" s="44" t="s">
        <v>405</v>
      </c>
      <c r="B65" s="58" t="s">
        <v>393</v>
      </c>
      <c r="C65" s="45">
        <v>4</v>
      </c>
      <c r="D65" s="55" t="s">
        <v>383</v>
      </c>
      <c r="E65" s="45" t="s">
        <v>23</v>
      </c>
      <c r="F65" s="46" t="str">
        <f t="shared" si="40"/>
        <v>DEFINIR CRITÉRIO</v>
      </c>
      <c r="G65" s="47" t="str">
        <f t="shared" si="41"/>
        <v>DEFINIR CRITÉRIO</v>
      </c>
      <c r="H65" s="240" t="s">
        <v>2000</v>
      </c>
      <c r="I65" s="240" t="s">
        <v>2001</v>
      </c>
      <c r="J65" s="242" t="str">
        <f>IFERROR(IF(N65&lt;&gt;"",M65,IF(I65 = PARÂMETROS!$B$5,Q65, IF(I65 = PARÂMETROS!$B$6,R65,IF(I65 = PARÂMETROS!$B$7,S65,IF(I65 = PARÂMETROS!$B$8, T65,"DEFINIR CRITÉRIO"))))),"SEM PREÇO")</f>
        <v>DEFINIR CRITÉRIO</v>
      </c>
      <c r="K65" s="241" t="str">
        <f t="shared" si="0"/>
        <v/>
      </c>
      <c r="L65" s="238" t="str">
        <f t="shared" si="1"/>
        <v/>
      </c>
      <c r="M65" s="51"/>
      <c r="N65" s="52"/>
      <c r="O65" s="53"/>
      <c r="P65" s="235">
        <f t="shared" si="2"/>
        <v>737.21</v>
      </c>
      <c r="Q65" s="236">
        <f t="shared" si="3"/>
        <v>0</v>
      </c>
      <c r="R65" s="236">
        <f t="shared" si="4"/>
        <v>0</v>
      </c>
      <c r="S65" s="236">
        <f t="shared" si="5"/>
        <v>0</v>
      </c>
      <c r="T65" s="236">
        <f t="shared" si="6"/>
        <v>0</v>
      </c>
      <c r="U65" s="237" t="e">
        <f>IF(AA65 = "", "", IF(OR($H65 = PARÂMETROS!$E$5, $H65 = ""), AA65, IF(OR(AA65 &lt; (1-VLOOKUP($H65,PARÂMETROS!$E:$F,2,FALSE))*$P65, AA65 &gt; (1+VLOOKUP($H65,PARÂMETROS!$E:$F,2,FALSE))*$P65),"",AA65)))</f>
        <v>#N/A</v>
      </c>
      <c r="V65" s="237" t="e">
        <f>IF(AG65 = "", "", IF(OR($H65 = PARÂMETROS!$E$5, $H65 = ""), AG65, IF(OR(AG65 &lt; (1-VLOOKUP($H65,PARÂMETROS!$E:$F,2,FALSE))*$P70, AG65 &gt; (1+VLOOKUP($H65,PARÂMETROS!$E:$F,2,FALSE))*$P65),"",AG65)))</f>
        <v>#N/A</v>
      </c>
      <c r="W65" s="237" t="e">
        <f>IF(AM65 = "", "", IF(OR($H65 = PARÂMETROS!$E$5, $H65 = ""), AM65, IF(OR(AM65 &lt; (1-VLOOKUP($H65,PARÂMETROS!$E:$F,2,FALSE))*$P65, AM65 &gt; (1+VLOOKUP($H65,PARÂMETROS!$E:$F,2,FALSE))*$P65),"",AM65)))</f>
        <v>#N/A</v>
      </c>
      <c r="X65" s="237" t="str">
        <f>IF(AS65 = "", "", IF(OR($H65 = PARÂMETROS!$E$5, $H65 = ""), AS65, IF(OR(AS65 &lt; (1-VLOOKUP($H65,PARÂMETROS!$E:$F,2,FALSE))*$P65, AS65 &gt; (1+VLOOKUP($H65,PARÂMETROS!$E:$F,2,FALSE))*$P65),"",AS65)))</f>
        <v/>
      </c>
      <c r="Y65" s="237" t="str">
        <f>IF(AY65 = "", "", IF(OR($H65 = PARÂMETROS!$E$5, $H65 = ""), AY65, IF(OR(AY65 &lt; (1-VLOOKUP($H65,PARÂMETROS!$E:$F,2,FALSE))*$P65, AY65 &gt; (1+VLOOKUP($H65,PARÂMETROS!$E:$F,2,FALSE))*$P65),"",AY65)))</f>
        <v/>
      </c>
      <c r="Z65" s="237" t="str">
        <f>IF(BE65 = "", "", IF(OR($H65 = PARÂMETROS!$E$5, $H65 = ""), BE65, IF(OR(BE65 &lt; (1-VLOOKUP($H65,PARÂMETROS!$E:$F,2,FALSE))*$P65, BE65 &gt; (1+VLOOKUP($H65,PARÂMETROS!$E:$F,2,FALSE))*$P65),"",BE65)))</f>
        <v/>
      </c>
      <c r="AA65" s="207">
        <v>540</v>
      </c>
      <c r="AB65" s="208">
        <v>961</v>
      </c>
      <c r="AC65" s="206" t="e">
        <f>IF(AND(OR(AA65="",AA65=0),OR(AA65="",AB65=0)),"",IF(OR(AA65="",AA65=0),"DEFINIR PREÇO",IF(OR(AB65="",AB65=0),"DEFINIR FORNECEDOR",IF(OR(AA65&lt;&gt;"",AA65&lt;&gt;0),VLOOKUP(AB65,#REF!,2,FALSE)))))</f>
        <v>#REF!</v>
      </c>
      <c r="AD65" s="217" t="s">
        <v>1977</v>
      </c>
      <c r="AE65" s="218">
        <v>44932</v>
      </c>
      <c r="AF65" s="220" t="str">
        <f t="shared" ca="1" si="7"/>
        <v>DESATUALIZADA</v>
      </c>
      <c r="AG65" s="229">
        <v>1299</v>
      </c>
      <c r="AH65" s="231">
        <v>985</v>
      </c>
      <c r="AI65" s="206" t="e">
        <f>IF(AND(OR(AG65="",AG65=0),OR(AG65="",AH65=0)),"",IF(OR(AG65="",AG65=0),"DEFINIR PREÇO",IF(OR(AH65="",AH65=0),"DEFINIR FORNECEDOR",IF(OR(AG65&lt;&gt;"",AG65&lt;&gt;0),VLOOKUP(AH65,#REF!,2,FALSE)))))</f>
        <v>#REF!</v>
      </c>
      <c r="AJ65" s="217" t="s">
        <v>1977</v>
      </c>
      <c r="AK65" s="218">
        <v>44932</v>
      </c>
      <c r="AL65" s="220" t="str">
        <f t="shared" ca="1" si="8"/>
        <v>DESATUALIZADA</v>
      </c>
      <c r="AM65" s="229">
        <v>372.63</v>
      </c>
      <c r="AN65" s="231">
        <v>1040</v>
      </c>
      <c r="AO65" s="206" t="e">
        <f>IF(AND(OR(AM65="",AM65=0),OR(AM65="",AN65=0)),"",IF(OR(AM65="",AM65=0),"DEFINIR PREÇO",IF(OR(AN65="",AN65=0),"DEFINIR FORNECEDOR",IF(OR(AM65&lt;&gt;"",AM65&lt;&gt;0),VLOOKUP(AN65,#REF!,2,FALSE)))))</f>
        <v>#REF!</v>
      </c>
      <c r="AP65" s="217" t="s">
        <v>1977</v>
      </c>
      <c r="AQ65" s="218">
        <v>44935</v>
      </c>
      <c r="AR65" s="220" t="str">
        <f t="shared" ca="1" si="9"/>
        <v>DESATUALIZADA</v>
      </c>
      <c r="AS65" s="229"/>
      <c r="AT65" s="231"/>
      <c r="AU65" s="191" t="str">
        <f>IF(AND(OR(AS65="",AS65=0),OR(AS65="",AT65=0)),"",IF(OR(AS65="",AS65=0),"DEFINIR PREÇO",IF(OR(AT65="",AT65=0),"DEFINIR FORNECEDOR",IF(OR(AS65&lt;&gt;"",AS65&lt;&gt;0),VLOOKUP(AT65,#REF!,2,FALSE)))))</f>
        <v/>
      </c>
      <c r="AV65" s="217"/>
      <c r="AW65" s="218"/>
      <c r="AX65" s="220" t="str">
        <f t="shared" ca="1" si="10"/>
        <v/>
      </c>
      <c r="AY65" s="229"/>
      <c r="AZ65" s="234"/>
      <c r="BA65" s="209" t="str">
        <f>IF(AND(OR(AY65="",AY65=0),OR(AY65="",AZ65=0)),"",IF(OR(AY65="",AY65=0),"DEFINIR PREÇO",IF(OR(AZ65="",AZ65=0),"DEFINIR FORNECEDOR",IF(OR(AY65&lt;&gt;"",AY65&lt;&gt;0),VLOOKUP(AZ65,#REF!,2,FALSE)))))</f>
        <v/>
      </c>
      <c r="BB65" s="217"/>
      <c r="BC65" s="218"/>
      <c r="BD65" s="220" t="str">
        <f t="shared" ca="1" si="11"/>
        <v/>
      </c>
      <c r="BE65" s="195"/>
      <c r="BF65" s="196"/>
      <c r="BG65" s="194"/>
      <c r="BH65" s="194"/>
      <c r="BI65" s="194"/>
      <c r="BJ65" s="197"/>
    </row>
    <row r="66" spans="1:62" ht="30" x14ac:dyDescent="0.25">
      <c r="A66" s="44" t="s">
        <v>405</v>
      </c>
      <c r="B66" s="58" t="s">
        <v>72</v>
      </c>
      <c r="C66" s="45">
        <v>4</v>
      </c>
      <c r="D66" s="55" t="s">
        <v>71</v>
      </c>
      <c r="E66" s="45" t="s">
        <v>23</v>
      </c>
      <c r="F66" s="46" t="str">
        <f t="shared" si="40"/>
        <v>DEFINIR CRITÉRIO</v>
      </c>
      <c r="G66" s="47" t="str">
        <f t="shared" si="41"/>
        <v>DEFINIR CRITÉRIO</v>
      </c>
      <c r="H66" s="240" t="s">
        <v>2000</v>
      </c>
      <c r="I66" s="240" t="s">
        <v>2001</v>
      </c>
      <c r="J66" s="242" t="str">
        <f>IFERROR(IF(N66&lt;&gt;"",M66,IF(I66 = PARÂMETROS!$B$5,Q66, IF(I66 = PARÂMETROS!$B$6,R66,IF(I66 = PARÂMETROS!$B$7,S66,IF(I66 = PARÂMETROS!$B$8, T66,"DEFINIR CRITÉRIO"))))),"SEM PREÇO")</f>
        <v>DEFINIR CRITÉRIO</v>
      </c>
      <c r="K66" s="241" t="str">
        <f t="shared" si="0"/>
        <v/>
      </c>
      <c r="L66" s="238" t="str">
        <f t="shared" si="1"/>
        <v/>
      </c>
      <c r="M66" s="51"/>
      <c r="N66" s="52"/>
      <c r="O66" s="53"/>
      <c r="P66" s="235">
        <f t="shared" si="2"/>
        <v>32.286666666666669</v>
      </c>
      <c r="Q66" s="236">
        <f t="shared" si="3"/>
        <v>0</v>
      </c>
      <c r="R66" s="236">
        <f t="shared" si="4"/>
        <v>0</v>
      </c>
      <c r="S66" s="236">
        <f t="shared" si="5"/>
        <v>0</v>
      </c>
      <c r="T66" s="236">
        <f t="shared" si="6"/>
        <v>0</v>
      </c>
      <c r="U66" s="237" t="e">
        <f>IF(AA66 = "", "", IF(OR($H66 = PARÂMETROS!$E$5, $H66 = ""), AA66, IF(OR(AA66 &lt; (1-VLOOKUP($H66,PARÂMETROS!$E:$F,2,FALSE))*$P66, AA66 &gt; (1+VLOOKUP($H66,PARÂMETROS!$E:$F,2,FALSE))*$P66),"",AA66)))</f>
        <v>#N/A</v>
      </c>
      <c r="V66" s="237" t="e">
        <f>IF(AG66 = "", "", IF(OR($H66 = PARÂMETROS!$E$5, $H66 = ""), AG66, IF(OR(AG66 &lt; (1-VLOOKUP($H66,PARÂMETROS!$E:$F,2,FALSE))*$P71, AG66 &gt; (1+VLOOKUP($H66,PARÂMETROS!$E:$F,2,FALSE))*$P66),"",AG66)))</f>
        <v>#N/A</v>
      </c>
      <c r="W66" s="237" t="e">
        <f>IF(AM66 = "", "", IF(OR($H66 = PARÂMETROS!$E$5, $H66 = ""), AM66, IF(OR(AM66 &lt; (1-VLOOKUP($H66,PARÂMETROS!$E:$F,2,FALSE))*$P66, AM66 &gt; (1+VLOOKUP($H66,PARÂMETROS!$E:$F,2,FALSE))*$P66),"",AM66)))</f>
        <v>#N/A</v>
      </c>
      <c r="X66" s="237" t="str">
        <f>IF(AS66 = "", "", IF(OR($H66 = PARÂMETROS!$E$5, $H66 = ""), AS66, IF(OR(AS66 &lt; (1-VLOOKUP($H66,PARÂMETROS!$E:$F,2,FALSE))*$P66, AS66 &gt; (1+VLOOKUP($H66,PARÂMETROS!$E:$F,2,FALSE))*$P66),"",AS66)))</f>
        <v/>
      </c>
      <c r="Y66" s="237" t="str">
        <f>IF(AY66 = "", "", IF(OR($H66 = PARÂMETROS!$E$5, $H66 = ""), AY66, IF(OR(AY66 &lt; (1-VLOOKUP($H66,PARÂMETROS!$E:$F,2,FALSE))*$P66, AY66 &gt; (1+VLOOKUP($H66,PARÂMETROS!$E:$F,2,FALSE))*$P66),"",AY66)))</f>
        <v/>
      </c>
      <c r="Z66" s="237" t="str">
        <f>IF(BE66 = "", "", IF(OR($H66 = PARÂMETROS!$E$5, $H66 = ""), BE66, IF(OR(BE66 &lt; (1-VLOOKUP($H66,PARÂMETROS!$E:$F,2,FALSE))*$P66, BE66 &gt; (1+VLOOKUP($H66,PARÂMETROS!$E:$F,2,FALSE))*$P66),"",BE66)))</f>
        <v/>
      </c>
      <c r="AA66" s="207">
        <v>30</v>
      </c>
      <c r="AB66" s="208">
        <v>93</v>
      </c>
      <c r="AC66" s="206" t="e">
        <f>IF(AND(OR(AA66="",AA66=0),OR(AA66="",AB66=0)),"",IF(OR(AA66="",AA66=0),"DEFINIR PREÇO",IF(OR(AB66="",AB66=0),"DEFINIR FORNECEDOR",IF(OR(AA66&lt;&gt;"",AA66&lt;&gt;0),VLOOKUP(AB66,#REF!,2,FALSE)))))</f>
        <v>#REF!</v>
      </c>
      <c r="AD66" s="217" t="s">
        <v>1977</v>
      </c>
      <c r="AE66" s="218">
        <v>44935</v>
      </c>
      <c r="AF66" s="220" t="str">
        <f t="shared" ca="1" si="7"/>
        <v>DESATUALIZADA</v>
      </c>
      <c r="AG66" s="229">
        <v>31.56</v>
      </c>
      <c r="AH66" s="231">
        <v>735</v>
      </c>
      <c r="AI66" s="206" t="e">
        <f>IF(AND(OR(AG66="",AG66=0),OR(AG66="",AH66=0)),"",IF(OR(AG66="",AG66=0),"DEFINIR PREÇO",IF(OR(AH66="",AH66=0),"DEFINIR FORNECEDOR",IF(OR(AG66&lt;&gt;"",AG66&lt;&gt;0),VLOOKUP(AH66,#REF!,2,FALSE)))))</f>
        <v>#REF!</v>
      </c>
      <c r="AJ66" s="217" t="s">
        <v>1977</v>
      </c>
      <c r="AK66" s="218">
        <v>44935</v>
      </c>
      <c r="AL66" s="220" t="str">
        <f t="shared" ca="1" si="8"/>
        <v>DESATUALIZADA</v>
      </c>
      <c r="AM66" s="229">
        <v>35.299999999999997</v>
      </c>
      <c r="AN66" s="231">
        <v>1035</v>
      </c>
      <c r="AO66" s="206" t="e">
        <f>IF(AND(OR(AM66="",AM66=0),OR(AM66="",AN66=0)),"",IF(OR(AM66="",AM66=0),"DEFINIR PREÇO",IF(OR(AN66="",AN66=0),"DEFINIR FORNECEDOR",IF(OR(AM66&lt;&gt;"",AM66&lt;&gt;0),VLOOKUP(AN66,#REF!,2,FALSE)))))</f>
        <v>#REF!</v>
      </c>
      <c r="AP66" s="217" t="s">
        <v>1977</v>
      </c>
      <c r="AQ66" s="218">
        <v>44935</v>
      </c>
      <c r="AR66" s="220" t="str">
        <f t="shared" ca="1" si="9"/>
        <v>DESATUALIZADA</v>
      </c>
      <c r="AS66" s="229"/>
      <c r="AT66" s="231"/>
      <c r="AU66" s="191" t="str">
        <f>IF(AND(OR(AS66="",AS66=0),OR(AS66="",AT66=0)),"",IF(OR(AS66="",AS66=0),"DEFINIR PREÇO",IF(OR(AT66="",AT66=0),"DEFINIR FORNECEDOR",IF(OR(AS66&lt;&gt;"",AS66&lt;&gt;0),VLOOKUP(AT66,#REF!,2,FALSE)))))</f>
        <v/>
      </c>
      <c r="AV66" s="217"/>
      <c r="AW66" s="218"/>
      <c r="AX66" s="220" t="str">
        <f t="shared" ca="1" si="10"/>
        <v/>
      </c>
      <c r="AY66" s="229"/>
      <c r="AZ66" s="234"/>
      <c r="BA66" s="209" t="str">
        <f>IF(AND(OR(AY66="",AY66=0),OR(AY66="",AZ66=0)),"",IF(OR(AY66="",AY66=0),"DEFINIR PREÇO",IF(OR(AZ66="",AZ66=0),"DEFINIR FORNECEDOR",IF(OR(AY66&lt;&gt;"",AY66&lt;&gt;0),VLOOKUP(AZ66,#REF!,2,FALSE)))))</f>
        <v/>
      </c>
      <c r="BB66" s="217"/>
      <c r="BC66" s="218"/>
      <c r="BD66" s="220" t="str">
        <f t="shared" ca="1" si="11"/>
        <v/>
      </c>
      <c r="BE66" s="195"/>
      <c r="BF66" s="196"/>
      <c r="BG66" s="194"/>
      <c r="BH66" s="194"/>
      <c r="BI66" s="194"/>
      <c r="BJ66" s="197"/>
    </row>
    <row r="67" spans="1:62" ht="30" x14ac:dyDescent="0.25">
      <c r="A67" s="44" t="s">
        <v>405</v>
      </c>
      <c r="B67" s="58" t="s">
        <v>369</v>
      </c>
      <c r="C67" s="45">
        <v>4</v>
      </c>
      <c r="D67" s="55" t="s">
        <v>359</v>
      </c>
      <c r="E67" s="45" t="s">
        <v>23</v>
      </c>
      <c r="F67" s="46" t="str">
        <f t="shared" si="40"/>
        <v>DEFINIR CRITÉRIO</v>
      </c>
      <c r="G67" s="47" t="str">
        <f t="shared" si="41"/>
        <v>DEFINIR CRITÉRIO</v>
      </c>
      <c r="H67" s="240" t="s">
        <v>2000</v>
      </c>
      <c r="I67" s="240" t="s">
        <v>2001</v>
      </c>
      <c r="J67" s="242" t="str">
        <f>IFERROR(IF(N67&lt;&gt;"",M67,IF(I67 = PARÂMETROS!$B$5,Q67, IF(I67 = PARÂMETROS!$B$6,R67,IF(I67 = PARÂMETROS!$B$7,S67,IF(I67 = PARÂMETROS!$B$8, T67,"DEFINIR CRITÉRIO"))))),"SEM PREÇO")</f>
        <v>DEFINIR CRITÉRIO</v>
      </c>
      <c r="K67" s="241" t="str">
        <f t="shared" si="0"/>
        <v/>
      </c>
      <c r="L67" s="238" t="str">
        <f t="shared" si="1"/>
        <v/>
      </c>
      <c r="M67" s="51"/>
      <c r="N67" s="52"/>
      <c r="O67" s="53"/>
      <c r="P67" s="235">
        <f t="shared" si="2"/>
        <v>20.56</v>
      </c>
      <c r="Q67" s="236">
        <f t="shared" si="3"/>
        <v>0</v>
      </c>
      <c r="R67" s="236">
        <f t="shared" si="4"/>
        <v>0</v>
      </c>
      <c r="S67" s="236">
        <f t="shared" si="5"/>
        <v>0</v>
      </c>
      <c r="T67" s="236">
        <f t="shared" si="6"/>
        <v>0</v>
      </c>
      <c r="U67" s="237" t="e">
        <f>IF(AA67 = "", "", IF(OR($H67 = PARÂMETROS!$E$5, $H67 = ""), AA67, IF(OR(AA67 &lt; (1-VLOOKUP($H67,PARÂMETROS!$E:$F,2,FALSE))*$P67, AA67 &gt; (1+VLOOKUP($H67,PARÂMETROS!$E:$F,2,FALSE))*$P67),"",AA67)))</f>
        <v>#N/A</v>
      </c>
      <c r="V67" s="237" t="e">
        <f>IF(AG67 = "", "", IF(OR($H67 = PARÂMETROS!$E$5, $H67 = ""), AG67, IF(OR(AG67 &lt; (1-VLOOKUP($H67,PARÂMETROS!$E:$F,2,FALSE))*$P72, AG67 &gt; (1+VLOOKUP($H67,PARÂMETROS!$E:$F,2,FALSE))*$P67),"",AG67)))</f>
        <v>#N/A</v>
      </c>
      <c r="W67" s="237" t="e">
        <f>IF(AM67 = "", "", IF(OR($H67 = PARÂMETROS!$E$5, $H67 = ""), AM67, IF(OR(AM67 &lt; (1-VLOOKUP($H67,PARÂMETROS!$E:$F,2,FALSE))*$P67, AM67 &gt; (1+VLOOKUP($H67,PARÂMETROS!$E:$F,2,FALSE))*$P67),"",AM67)))</f>
        <v>#N/A</v>
      </c>
      <c r="X67" s="237" t="e">
        <f>IF(AS67 = "", "", IF(OR($H67 = PARÂMETROS!$E$5, $H67 = ""), AS67, IF(OR(AS67 &lt; (1-VLOOKUP($H67,PARÂMETROS!$E:$F,2,FALSE))*$P67, AS67 &gt; (1+VLOOKUP($H67,PARÂMETROS!$E:$F,2,FALSE))*$P67),"",AS67)))</f>
        <v>#N/A</v>
      </c>
      <c r="Y67" s="237" t="str">
        <f>IF(AY67 = "", "", IF(OR($H67 = PARÂMETROS!$E$5, $H67 = ""), AY67, IF(OR(AY67 &lt; (1-VLOOKUP($H67,PARÂMETROS!$E:$F,2,FALSE))*$P67, AY67 &gt; (1+VLOOKUP($H67,PARÂMETROS!$E:$F,2,FALSE))*$P67),"",AY67)))</f>
        <v/>
      </c>
      <c r="Z67" s="237" t="str">
        <f>IF(BE67 = "", "", IF(OR($H67 = PARÂMETROS!$E$5, $H67 = ""), BE67, IF(OR(BE67 &lt; (1-VLOOKUP($H67,PARÂMETROS!$E:$F,2,FALSE))*$P67, BE67 &gt; (1+VLOOKUP($H67,PARÂMETROS!$E:$F,2,FALSE))*$P67),"",BE67)))</f>
        <v/>
      </c>
      <c r="AA67" s="207">
        <v>10.99</v>
      </c>
      <c r="AB67" s="208">
        <v>319</v>
      </c>
      <c r="AC67" s="206" t="e">
        <f>IF(AND(OR(AA67="",AA67=0),OR(AA67="",AB67=0)),"",IF(OR(AA67="",AA67=0),"DEFINIR PREÇO",IF(OR(AB67="",AB67=0),"DEFINIR FORNECEDOR",IF(OR(AA67&lt;&gt;"",AA67&lt;&gt;0),VLOOKUP(AB67,#REF!,2,FALSE)))))</f>
        <v>#REF!</v>
      </c>
      <c r="AD67" s="217" t="s">
        <v>1977</v>
      </c>
      <c r="AE67" s="218">
        <v>44935</v>
      </c>
      <c r="AF67" s="220" t="str">
        <f t="shared" ca="1" si="7"/>
        <v>DESATUALIZADA</v>
      </c>
      <c r="AG67" s="229">
        <v>38.58</v>
      </c>
      <c r="AH67" s="231">
        <v>370</v>
      </c>
      <c r="AI67" s="206" t="e">
        <f>IF(AND(OR(AG67="",AG67=0),OR(AG67="",AH67=0)),"",IF(OR(AG67="",AG67=0),"DEFINIR PREÇO",IF(OR(AH67="",AH67=0),"DEFINIR FORNECEDOR",IF(OR(AG67&lt;&gt;"",AG67&lt;&gt;0),VLOOKUP(AH67,#REF!,2,FALSE)))))</f>
        <v>#REF!</v>
      </c>
      <c r="AJ67" s="217" t="s">
        <v>1977</v>
      </c>
      <c r="AK67" s="218">
        <v>44935</v>
      </c>
      <c r="AL67" s="220" t="str">
        <f t="shared" ca="1" si="8"/>
        <v>DESATUALIZADA</v>
      </c>
      <c r="AM67" s="229">
        <v>14.95</v>
      </c>
      <c r="AN67" s="231">
        <v>2200</v>
      </c>
      <c r="AO67" s="206" t="e">
        <f>IF(AND(OR(AM67="",AM67=0),OR(AM67="",AN67=0)),"",IF(OR(AM67="",AM67=0),"DEFINIR PREÇO",IF(OR(AN67="",AN67=0),"DEFINIR FORNECEDOR",IF(OR(AM67&lt;&gt;"",AM67&lt;&gt;0),VLOOKUP(AN67,#REF!,2,FALSE)))))</f>
        <v>#REF!</v>
      </c>
      <c r="AP67" s="217" t="s">
        <v>1977</v>
      </c>
      <c r="AQ67" s="218">
        <v>44935</v>
      </c>
      <c r="AR67" s="220" t="str">
        <f t="shared" ca="1" si="9"/>
        <v>DESATUALIZADA</v>
      </c>
      <c r="AS67" s="229">
        <v>17.72</v>
      </c>
      <c r="AT67" s="231">
        <v>636</v>
      </c>
      <c r="AU67" s="206" t="e">
        <f>IF(AND(OR(AS67="",AS67=0),OR(AS67="",AT67=0)),"",IF(OR(AS67="",AS67=0),"DEFINIR PREÇO",IF(OR(AT67="",AT67=0),"DEFINIR FORNECEDOR",IF(OR(AS67&lt;&gt;"",AS67&lt;&gt;0),VLOOKUP(AT67,#REF!,2,FALSE)))))</f>
        <v>#REF!</v>
      </c>
      <c r="AV67" s="219" t="s">
        <v>2014</v>
      </c>
      <c r="AW67" s="218">
        <v>44942</v>
      </c>
      <c r="AX67" s="220" t="str">
        <f t="shared" ca="1" si="10"/>
        <v>DESATUALIZADA</v>
      </c>
      <c r="AY67" s="229"/>
      <c r="AZ67" s="234"/>
      <c r="BA67" s="209" t="str">
        <f>IF(AND(OR(AY67="",AY67=0),OR(AY67="",AZ67=0)),"",IF(OR(AY67="",AY67=0),"DEFINIR PREÇO",IF(OR(AZ67="",AZ67=0),"DEFINIR FORNECEDOR",IF(OR(AY67&lt;&gt;"",AY67&lt;&gt;0),VLOOKUP(AZ67,#REF!,2,FALSE)))))</f>
        <v/>
      </c>
      <c r="BB67" s="217"/>
      <c r="BC67" s="218"/>
      <c r="BD67" s="220" t="str">
        <f t="shared" ca="1" si="11"/>
        <v/>
      </c>
      <c r="BE67" s="195"/>
      <c r="BF67" s="196"/>
      <c r="BG67" s="194"/>
      <c r="BH67" s="194"/>
      <c r="BI67" s="194"/>
      <c r="BJ67" s="197"/>
    </row>
    <row r="68" spans="1:62" ht="30" x14ac:dyDescent="0.25">
      <c r="A68" s="44" t="s">
        <v>405</v>
      </c>
      <c r="B68" s="58" t="s">
        <v>370</v>
      </c>
      <c r="C68" s="45">
        <v>4</v>
      </c>
      <c r="D68" s="55" t="s">
        <v>360</v>
      </c>
      <c r="E68" s="45" t="s">
        <v>23</v>
      </c>
      <c r="F68" s="46" t="str">
        <f t="shared" si="40"/>
        <v>DEFINIR CRITÉRIO</v>
      </c>
      <c r="G68" s="47" t="str">
        <f t="shared" si="41"/>
        <v>DEFINIR CRITÉRIO</v>
      </c>
      <c r="H68" s="240" t="s">
        <v>2000</v>
      </c>
      <c r="I68" s="240" t="s">
        <v>2001</v>
      </c>
      <c r="J68" s="242" t="str">
        <f>IFERROR(IF(N68&lt;&gt;"",M68,IF(I68 = PARÂMETROS!$B$5,Q68, IF(I68 = PARÂMETROS!$B$6,R68,IF(I68 = PARÂMETROS!$B$7,S68,IF(I68 = PARÂMETROS!$B$8, T68,"DEFINIR CRITÉRIO"))))),"SEM PREÇO")</f>
        <v>DEFINIR CRITÉRIO</v>
      </c>
      <c r="K68" s="241" t="str">
        <f t="shared" si="0"/>
        <v/>
      </c>
      <c r="L68" s="238" t="str">
        <f t="shared" si="1"/>
        <v/>
      </c>
      <c r="M68" s="51"/>
      <c r="N68" s="52"/>
      <c r="O68" s="53"/>
      <c r="P68" s="235">
        <f t="shared" si="2"/>
        <v>0.91799999999999993</v>
      </c>
      <c r="Q68" s="236">
        <f t="shared" si="3"/>
        <v>0</v>
      </c>
      <c r="R68" s="236">
        <f t="shared" si="4"/>
        <v>0</v>
      </c>
      <c r="S68" s="236">
        <f t="shared" si="5"/>
        <v>0</v>
      </c>
      <c r="T68" s="236">
        <f t="shared" si="6"/>
        <v>0</v>
      </c>
      <c r="U68" s="237" t="e">
        <f>IF(AA68 = "", "", IF(OR($H68 = PARÂMETROS!$E$5, $H68 = ""), AA68, IF(OR(AA68 &lt; (1-VLOOKUP($H68,PARÂMETROS!$E:$F,2,FALSE))*$P68, AA68 &gt; (1+VLOOKUP($H68,PARÂMETROS!$E:$F,2,FALSE))*$P68),"",AA68)))</f>
        <v>#N/A</v>
      </c>
      <c r="V68" s="237" t="e">
        <f>IF(AG68 = "", "", IF(OR($H68 = PARÂMETROS!$E$5, $H68 = ""), AG68, IF(OR(AG68 &lt; (1-VLOOKUP($H68,PARÂMETROS!$E:$F,2,FALSE))*$P73, AG68 &gt; (1+VLOOKUP($H68,PARÂMETROS!$E:$F,2,FALSE))*$P68),"",AG68)))</f>
        <v>#N/A</v>
      </c>
      <c r="W68" s="237" t="e">
        <f>IF(AM68 = "", "", IF(OR($H68 = PARÂMETROS!$E$5, $H68 = ""), AM68, IF(OR(AM68 &lt; (1-VLOOKUP($H68,PARÂMETROS!$E:$F,2,FALSE))*$P68, AM68 &gt; (1+VLOOKUP($H68,PARÂMETROS!$E:$F,2,FALSE))*$P68),"",AM68)))</f>
        <v>#N/A</v>
      </c>
      <c r="X68" s="237" t="e">
        <f>IF(AS68 = "", "", IF(OR($H68 = PARÂMETROS!$E$5, $H68 = ""), AS68, IF(OR(AS68 &lt; (1-VLOOKUP($H68,PARÂMETROS!$E:$F,2,FALSE))*$P68, AS68 &gt; (1+VLOOKUP($H68,PARÂMETROS!$E:$F,2,FALSE))*$P68),"",AS68)))</f>
        <v>#N/A</v>
      </c>
      <c r="Y68" s="237" t="str">
        <f>IF(AY68 = "", "", IF(OR($H68 = PARÂMETROS!$E$5, $H68 = ""), AY68, IF(OR(AY68 &lt; (1-VLOOKUP($H68,PARÂMETROS!$E:$F,2,FALSE))*$P68, AY68 &gt; (1+VLOOKUP($H68,PARÂMETROS!$E:$F,2,FALSE))*$P68),"",AY68)))</f>
        <v/>
      </c>
      <c r="Z68" s="237" t="str">
        <f>IF(BE68 = "", "", IF(OR($H68 = PARÂMETROS!$E$5, $H68 = ""), BE68, IF(OR(BE68 &lt; (1-VLOOKUP($H68,PARÂMETROS!$E:$F,2,FALSE))*$P68, BE68 &gt; (1+VLOOKUP($H68,PARÂMETROS!$E:$F,2,FALSE))*$P68),"",BE68)))</f>
        <v/>
      </c>
      <c r="AA68" s="207">
        <v>0.75</v>
      </c>
      <c r="AB68" s="208">
        <v>2208</v>
      </c>
      <c r="AC68" s="206" t="e">
        <f>IF(AND(OR(AA68="",AA68=0),OR(AA68="",AB68=0)),"",IF(OR(AA68="",AA68=0),"DEFINIR PREÇO",IF(OR(AB68="",AB68=0),"DEFINIR FORNECEDOR",IF(OR(AA68&lt;&gt;"",AA68&lt;&gt;0),VLOOKUP(AB68,#REF!,2,FALSE)))))</f>
        <v>#REF!</v>
      </c>
      <c r="AD68" s="217" t="s">
        <v>1977</v>
      </c>
      <c r="AE68" s="218">
        <v>44939</v>
      </c>
      <c r="AF68" s="220" t="str">
        <f t="shared" ca="1" si="7"/>
        <v>DESATUALIZADA</v>
      </c>
      <c r="AG68" s="229">
        <v>1.8</v>
      </c>
      <c r="AH68" s="231">
        <v>628</v>
      </c>
      <c r="AI68" s="206" t="e">
        <f>IF(AND(OR(AG68="",AG68=0),OR(AG68="",AH68=0)),"",IF(OR(AG68="",AG68=0),"DEFINIR PREÇO",IF(OR(AH68="",AH68=0),"DEFINIR FORNECEDOR",IF(OR(AG68&lt;&gt;"",AG68&lt;&gt;0),VLOOKUP(AH68,#REF!,2,FALSE)))))</f>
        <v>#REF!</v>
      </c>
      <c r="AJ68" s="217" t="s">
        <v>1982</v>
      </c>
      <c r="AK68" s="218">
        <v>44942</v>
      </c>
      <c r="AL68" s="220" t="str">
        <f t="shared" ca="1" si="8"/>
        <v>DESATUALIZADA</v>
      </c>
      <c r="AM68" s="229">
        <v>0.62</v>
      </c>
      <c r="AN68" s="231">
        <v>636</v>
      </c>
      <c r="AO68" s="206" t="e">
        <f>IF(AND(OR(AM68="",AM68=0),OR(AM68="",AN68=0)),"",IF(OR(AM68="",AM68=0),"DEFINIR PREÇO",IF(OR(AN68="",AN68=0),"DEFINIR FORNECEDOR",IF(OR(AM68&lt;&gt;"",AM68&lt;&gt;0),VLOOKUP(AN68,#REF!,2,FALSE)))))</f>
        <v>#REF!</v>
      </c>
      <c r="AP68" s="219" t="s">
        <v>2014</v>
      </c>
      <c r="AQ68" s="218">
        <v>44942</v>
      </c>
      <c r="AR68" s="220" t="str">
        <f t="shared" ca="1" si="9"/>
        <v>DESATUALIZADA</v>
      </c>
      <c r="AS68" s="229">
        <f>10.04/20</f>
        <v>0.502</v>
      </c>
      <c r="AT68" s="231">
        <v>1470</v>
      </c>
      <c r="AU68" s="206" t="e">
        <f>IF(AND(OR(AS68="",AS68=0),OR(AS68="",AT68=0)),"",IF(OR(AS68="",AS68=0),"DEFINIR PREÇO",IF(OR(AT68="",AT68=0),"DEFINIR FORNECEDOR",IF(OR(AS68&lt;&gt;"",AS68&lt;&gt;0),VLOOKUP(AT68,#REF!,2,FALSE)))))</f>
        <v>#REF!</v>
      </c>
      <c r="AV68" s="217" t="s">
        <v>1977</v>
      </c>
      <c r="AW68" s="218">
        <v>44985</v>
      </c>
      <c r="AX68" s="220" t="str">
        <f t="shared" ca="1" si="10"/>
        <v>DESATUALIZADA</v>
      </c>
      <c r="AY68" s="229"/>
      <c r="AZ68" s="231"/>
      <c r="BA68" s="209"/>
      <c r="BB68" s="217"/>
      <c r="BC68" s="218"/>
      <c r="BD68" s="220"/>
      <c r="BE68" s="195"/>
      <c r="BF68" s="196"/>
      <c r="BG68" s="194"/>
      <c r="BH68" s="194"/>
      <c r="BI68" s="194"/>
      <c r="BJ68" s="197"/>
    </row>
    <row r="69" spans="1:62" ht="30" x14ac:dyDescent="0.25">
      <c r="A69" s="44" t="s">
        <v>405</v>
      </c>
      <c r="B69" s="58" t="s">
        <v>372</v>
      </c>
      <c r="C69" s="45">
        <v>4</v>
      </c>
      <c r="D69" s="55" t="s">
        <v>362</v>
      </c>
      <c r="E69" s="45" t="s">
        <v>23</v>
      </c>
      <c r="F69" s="46" t="str">
        <f t="shared" si="40"/>
        <v>DEFINIR CRITÉRIO</v>
      </c>
      <c r="G69" s="47" t="str">
        <f t="shared" si="41"/>
        <v>DEFINIR CRITÉRIO</v>
      </c>
      <c r="H69" s="240" t="s">
        <v>2000</v>
      </c>
      <c r="I69" s="240" t="s">
        <v>2001</v>
      </c>
      <c r="J69" s="242" t="str">
        <f>IFERROR(IF(N69&lt;&gt;"",M69,IF(I69 = PARÂMETROS!$B$5,Q69, IF(I69 = PARÂMETROS!$B$6,R69,IF(I69 = PARÂMETROS!$B$7,S69,IF(I69 = PARÂMETROS!$B$8, T69,"DEFINIR CRITÉRIO"))))),"SEM PREÇO")</f>
        <v>DEFINIR CRITÉRIO</v>
      </c>
      <c r="K69" s="241" t="str">
        <f t="shared" ref="K69:K132" si="42">IF(OR(J69="", J69="DEFINIR VALOR", J69="DEFINIR CRITÉRIO"),"",IFERROR(_xlfn.STDEV.P(AA69,AG69,AM69,AS69,AY69,BE69),0))</f>
        <v/>
      </c>
      <c r="L69" s="238" t="str">
        <f t="shared" ref="L69:L132" si="43">IF(OR(P69="", P69="DEFINIR VALOR", P69="DEFINIR CRITÉRIO",K69 = ""),"", IF(P69 = 0, "", K69/P69))</f>
        <v/>
      </c>
      <c r="M69" s="51"/>
      <c r="N69" s="52"/>
      <c r="O69" s="53"/>
      <c r="P69" s="235">
        <f t="shared" ref="P69:P132" si="44">IFERROR(AVERAGE(AA69,AG69,AM69,AS69,AY69,BE69),0)</f>
        <v>500.31</v>
      </c>
      <c r="Q69" s="236">
        <f t="shared" ref="Q69:Q132" si="45">IFERROR(AVERAGE(U69:Z69),0)</f>
        <v>0</v>
      </c>
      <c r="R69" s="236">
        <f t="shared" ref="R69:R132" si="46">IFERROR(MEDIAN(U69:Z69),0)</f>
        <v>0</v>
      </c>
      <c r="S69" s="236">
        <f t="shared" ref="S69:S132" si="47">IFERROR(SMALL(U69:Z69,1),0)</f>
        <v>0</v>
      </c>
      <c r="T69" s="236">
        <f t="shared" ref="T69:T132" si="48">IFERROR(_xlfn.MODE.SNGL(U69:Z69),0)</f>
        <v>0</v>
      </c>
      <c r="U69" s="237" t="e">
        <f>IF(AA69 = "", "", IF(OR($H69 = PARÂMETROS!$E$5, $H69 = ""), AA69, IF(OR(AA69 &lt; (1-VLOOKUP($H69,PARÂMETROS!$E:$F,2,FALSE))*$P69, AA69 &gt; (1+VLOOKUP($H69,PARÂMETROS!$E:$F,2,FALSE))*$P69),"",AA69)))</f>
        <v>#N/A</v>
      </c>
      <c r="V69" s="237" t="e">
        <f>IF(AG69 = "", "", IF(OR($H69 = PARÂMETROS!$E$5, $H69 = ""), AG69, IF(OR(AG69 &lt; (1-VLOOKUP($H69,PARÂMETROS!$E:$F,2,FALSE))*$P74, AG69 &gt; (1+VLOOKUP($H69,PARÂMETROS!$E:$F,2,FALSE))*$P69),"",AG69)))</f>
        <v>#N/A</v>
      </c>
      <c r="W69" s="237" t="str">
        <f>IF(AM69 = "", "", IF(OR($H69 = PARÂMETROS!$E$5, $H69 = ""), AM69, IF(OR(AM69 &lt; (1-VLOOKUP($H69,PARÂMETROS!$E:$F,2,FALSE))*$P69, AM69 &gt; (1+VLOOKUP($H69,PARÂMETROS!$E:$F,2,FALSE))*$P69),"",AM69)))</f>
        <v/>
      </c>
      <c r="X69" s="237" t="str">
        <f>IF(AS69 = "", "", IF(OR($H69 = PARÂMETROS!$E$5, $H69 = ""), AS69, IF(OR(AS69 &lt; (1-VLOOKUP($H69,PARÂMETROS!$E:$F,2,FALSE))*$P69, AS69 &gt; (1+VLOOKUP($H69,PARÂMETROS!$E:$F,2,FALSE))*$P69),"",AS69)))</f>
        <v/>
      </c>
      <c r="Y69" s="237" t="str">
        <f>IF(AY69 = "", "", IF(OR($H69 = PARÂMETROS!$E$5, $H69 = ""), AY69, IF(OR(AY69 &lt; (1-VLOOKUP($H69,PARÂMETROS!$E:$F,2,FALSE))*$P69, AY69 &gt; (1+VLOOKUP($H69,PARÂMETROS!$E:$F,2,FALSE))*$P69),"",AY69)))</f>
        <v/>
      </c>
      <c r="Z69" s="237" t="str">
        <f>IF(BE69 = "", "", IF(OR($H69 = PARÂMETROS!$E$5, $H69 = ""), BE69, IF(OR(BE69 &lt; (1-VLOOKUP($H69,PARÂMETROS!$E:$F,2,FALSE))*$P69, BE69 &gt; (1+VLOOKUP($H69,PARÂMETROS!$E:$F,2,FALSE))*$P69),"",BE69)))</f>
        <v/>
      </c>
      <c r="AA69" s="207">
        <v>770</v>
      </c>
      <c r="AB69" s="208">
        <v>628</v>
      </c>
      <c r="AC69" s="206" t="e">
        <f>IF(AND(OR(AA69="",AA69=0),OR(AA69="",AB69=0)),"",IF(OR(AA69="",AA69=0),"DEFINIR PREÇO",IF(OR(AB69="",AB69=0),"DEFINIR FORNECEDOR",IF(OR(AA69&lt;&gt;"",AA69&lt;&gt;0),VLOOKUP(AB69,#REF!,2,FALSE)))))</f>
        <v>#REF!</v>
      </c>
      <c r="AD69" s="217" t="s">
        <v>1982</v>
      </c>
      <c r="AE69" s="218">
        <v>44942</v>
      </c>
      <c r="AF69" s="220" t="str">
        <f t="shared" ca="1" si="7"/>
        <v>DESATUALIZADA</v>
      </c>
      <c r="AG69" s="229">
        <v>230.62</v>
      </c>
      <c r="AH69" s="231">
        <v>636</v>
      </c>
      <c r="AI69" s="206" t="e">
        <f>IF(AND(OR(AG69="",AG69=0),OR(AG69="",AH69=0)),"",IF(OR(AG69="",AG69=0),"DEFINIR PREÇO",IF(OR(AH69="",AH69=0),"DEFINIR FORNECEDOR",IF(OR(AG69&lt;&gt;"",AG69&lt;&gt;0),VLOOKUP(AH69,#REF!,2,FALSE)))))</f>
        <v>#REF!</v>
      </c>
      <c r="AJ69" s="219" t="s">
        <v>2014</v>
      </c>
      <c r="AK69" s="218">
        <v>44942</v>
      </c>
      <c r="AL69" s="220" t="str">
        <f t="shared" ca="1" si="8"/>
        <v>DESATUALIZADA</v>
      </c>
      <c r="AM69" s="229"/>
      <c r="AN69" s="231"/>
      <c r="AO69" s="206" t="str">
        <f>IF(AND(OR(AM69="",AM69=0),OR(AM69="",AN69=0)),"",IF(OR(AM69="",AM69=0),"DEFINIR PREÇO",IF(OR(AN69="",AN69=0),"DEFINIR FORNECEDOR",IF(OR(AM69&lt;&gt;"",AM69&lt;&gt;0),VLOOKUP(AN69,#REF!,2,FALSE)))))</f>
        <v/>
      </c>
      <c r="AP69" s="217"/>
      <c r="AQ69" s="218"/>
      <c r="AR69" s="220" t="str">
        <f t="shared" ca="1" si="9"/>
        <v/>
      </c>
      <c r="AS69" s="229"/>
      <c r="AT69" s="231"/>
      <c r="AU69" s="191" t="str">
        <f>IF(AND(OR(AS69="",AS69=0),OR(AS69="",AT69=0)),"",IF(OR(AS69="",AS69=0),"DEFINIR PREÇO",IF(OR(AT69="",AT69=0),"DEFINIR FORNECEDOR",IF(OR(AS69&lt;&gt;"",AS69&lt;&gt;0),VLOOKUP(AT69,#REF!,2,FALSE)))))</f>
        <v/>
      </c>
      <c r="AV69" s="217"/>
      <c r="AW69" s="218"/>
      <c r="AX69" s="220" t="str">
        <f t="shared" ca="1" si="10"/>
        <v/>
      </c>
      <c r="AY69" s="229"/>
      <c r="AZ69" s="234"/>
      <c r="BA69" s="209" t="str">
        <f>IF(AND(OR(AY69="",AY69=0),OR(AY69="",AZ69=0)),"",IF(OR(AY69="",AY69=0),"DEFINIR PREÇO",IF(OR(AZ69="",AZ69=0),"DEFINIR FORNECEDOR",IF(OR(AY69&lt;&gt;"",AY69&lt;&gt;0),VLOOKUP(AZ69,#REF!,2,FALSE)))))</f>
        <v/>
      </c>
      <c r="BB69" s="217"/>
      <c r="BC69" s="218"/>
      <c r="BD69" s="220" t="str">
        <f t="shared" ca="1" si="11"/>
        <v/>
      </c>
      <c r="BE69" s="195"/>
      <c r="BF69" s="196"/>
      <c r="BG69" s="194"/>
      <c r="BH69" s="194"/>
      <c r="BI69" s="194"/>
      <c r="BJ69" s="197"/>
    </row>
    <row r="70" spans="1:62" ht="30" x14ac:dyDescent="0.25">
      <c r="A70" s="44" t="s">
        <v>405</v>
      </c>
      <c r="B70" s="58" t="s">
        <v>371</v>
      </c>
      <c r="C70" s="45">
        <v>4</v>
      </c>
      <c r="D70" s="55" t="s">
        <v>361</v>
      </c>
      <c r="E70" s="45" t="s">
        <v>23</v>
      </c>
      <c r="F70" s="46" t="str">
        <f t="shared" si="40"/>
        <v>DEFINIR CRITÉRIO</v>
      </c>
      <c r="G70" s="47" t="str">
        <f t="shared" si="41"/>
        <v>DEFINIR CRITÉRIO</v>
      </c>
      <c r="H70" s="240" t="s">
        <v>2000</v>
      </c>
      <c r="I70" s="240" t="s">
        <v>2001</v>
      </c>
      <c r="J70" s="242" t="str">
        <f>IFERROR(IF(N70&lt;&gt;"",M70,IF(I70 = PARÂMETROS!$B$5,Q70, IF(I70 = PARÂMETROS!$B$6,R70,IF(I70 = PARÂMETROS!$B$7,S70,IF(I70 = PARÂMETROS!$B$8, T70,"DEFINIR CRITÉRIO"))))),"SEM PREÇO")</f>
        <v>DEFINIR CRITÉRIO</v>
      </c>
      <c r="K70" s="241" t="str">
        <f t="shared" si="42"/>
        <v/>
      </c>
      <c r="L70" s="238" t="str">
        <f t="shared" si="43"/>
        <v/>
      </c>
      <c r="M70" s="51"/>
      <c r="N70" s="52"/>
      <c r="O70" s="53"/>
      <c r="P70" s="235">
        <f t="shared" si="44"/>
        <v>447.89499999999998</v>
      </c>
      <c r="Q70" s="236">
        <f t="shared" si="45"/>
        <v>0</v>
      </c>
      <c r="R70" s="236">
        <f t="shared" si="46"/>
        <v>0</v>
      </c>
      <c r="S70" s="236">
        <f t="shared" si="47"/>
        <v>0</v>
      </c>
      <c r="T70" s="236">
        <f t="shared" si="48"/>
        <v>0</v>
      </c>
      <c r="U70" s="237" t="e">
        <f>IF(AA70 = "", "", IF(OR($H70 = PARÂMETROS!$E$5, $H70 = ""), AA70, IF(OR(AA70 &lt; (1-VLOOKUP($H70,PARÂMETROS!$E:$F,2,FALSE))*$P70, AA70 &gt; (1+VLOOKUP($H70,PARÂMETROS!$E:$F,2,FALSE))*$P70),"",AA70)))</f>
        <v>#N/A</v>
      </c>
      <c r="V70" s="237" t="e">
        <f>IF(AG70 = "", "", IF(OR($H70 = PARÂMETROS!$E$5, $H70 = ""), AG70, IF(OR(AG70 &lt; (1-VLOOKUP($H70,PARÂMETROS!$E:$F,2,FALSE))*$P75, AG70 &gt; (1+VLOOKUP($H70,PARÂMETROS!$E:$F,2,FALSE))*$P70),"",AG70)))</f>
        <v>#N/A</v>
      </c>
      <c r="W70" s="237" t="str">
        <f>IF(AM70 = "", "", IF(OR($H70 = PARÂMETROS!$E$5, $H70 = ""), AM70, IF(OR(AM70 &lt; (1-VLOOKUP($H70,PARÂMETROS!$E:$F,2,FALSE))*$P70, AM70 &gt; (1+VLOOKUP($H70,PARÂMETROS!$E:$F,2,FALSE))*$P70),"",AM70)))</f>
        <v/>
      </c>
      <c r="X70" s="237" t="str">
        <f>IF(AS70 = "", "", IF(OR($H70 = PARÂMETROS!$E$5, $H70 = ""), AS70, IF(OR(AS70 &lt; (1-VLOOKUP($H70,PARÂMETROS!$E:$F,2,FALSE))*$P70, AS70 &gt; (1+VLOOKUP($H70,PARÂMETROS!$E:$F,2,FALSE))*$P70),"",AS70)))</f>
        <v/>
      </c>
      <c r="Y70" s="237" t="str">
        <f>IF(AY70 = "", "", IF(OR($H70 = PARÂMETROS!$E$5, $H70 = ""), AY70, IF(OR(AY70 &lt; (1-VLOOKUP($H70,PARÂMETROS!$E:$F,2,FALSE))*$P70, AY70 &gt; (1+VLOOKUP($H70,PARÂMETROS!$E:$F,2,FALSE))*$P70),"",AY70)))</f>
        <v/>
      </c>
      <c r="Z70" s="237" t="str">
        <f>IF(BE70 = "", "", IF(OR($H70 = PARÂMETROS!$E$5, $H70 = ""), BE70, IF(OR(BE70 &lt; (1-VLOOKUP($H70,PARÂMETROS!$E:$F,2,FALSE))*$P70, BE70 &gt; (1+VLOOKUP($H70,PARÂMETROS!$E:$F,2,FALSE))*$P70),"",BE70)))</f>
        <v/>
      </c>
      <c r="AA70" s="207">
        <v>770</v>
      </c>
      <c r="AB70" s="208">
        <v>628</v>
      </c>
      <c r="AC70" s="206" t="e">
        <f>IF(AND(OR(AA70="",AA70=0),OR(AA70="",AB70=0)),"",IF(OR(AA70="",AA70=0),"DEFINIR PREÇO",IF(OR(AB70="",AB70=0),"DEFINIR FORNECEDOR",IF(OR(AA70&lt;&gt;"",AA70&lt;&gt;0),VLOOKUP(AB70,#REF!,2,FALSE)))))</f>
        <v>#REF!</v>
      </c>
      <c r="AD70" s="217" t="s">
        <v>1982</v>
      </c>
      <c r="AE70" s="218">
        <v>44942</v>
      </c>
      <c r="AF70" s="220" t="str">
        <f t="shared" ref="AF70:AF133" ca="1" si="49">IF(AE70 = "", "", IF(AE70 + 180 &gt; TODAY(),"VIGENTE", "DESATUALIZADA"))</f>
        <v>DESATUALIZADA</v>
      </c>
      <c r="AG70" s="229">
        <v>125.79</v>
      </c>
      <c r="AH70" s="231">
        <v>636</v>
      </c>
      <c r="AI70" s="206" t="e">
        <f>IF(AND(OR(AG70="",AG70=0),OR(AG70="",AH70=0)),"",IF(OR(AG70="",AG70=0),"DEFINIR PREÇO",IF(OR(AH70="",AH70=0),"DEFINIR FORNECEDOR",IF(OR(AG70&lt;&gt;"",AG70&lt;&gt;0),VLOOKUP(AH70,#REF!,2,FALSE)))))</f>
        <v>#REF!</v>
      </c>
      <c r="AJ70" s="219" t="s">
        <v>2014</v>
      </c>
      <c r="AK70" s="218">
        <v>44942</v>
      </c>
      <c r="AL70" s="220" t="str">
        <f t="shared" ref="AL70:AL133" ca="1" si="50">IF(AK70 = "", "", IF(AK70 + 180 &gt; TODAY(),"VIGENTE", "DESATUALIZADA"))</f>
        <v>DESATUALIZADA</v>
      </c>
      <c r="AM70" s="229"/>
      <c r="AN70" s="231"/>
      <c r="AO70" s="206" t="str">
        <f>IF(AND(OR(AM70="",AM70=0),OR(AM70="",AN70=0)),"",IF(OR(AM70="",AM70=0),"DEFINIR PREÇO",IF(OR(AN70="",AN70=0),"DEFINIR FORNECEDOR",IF(OR(AM70&lt;&gt;"",AM70&lt;&gt;0),VLOOKUP(AN70,#REF!,2,FALSE)))))</f>
        <v/>
      </c>
      <c r="AP70" s="217"/>
      <c r="AQ70" s="218"/>
      <c r="AR70" s="220" t="str">
        <f t="shared" ref="AR70:AR133" ca="1" si="51">IF(AQ70 = "", "", IF(AQ70 + 180 &gt; TODAY(),"VIGENTE", "DESATUALIZADA"))</f>
        <v/>
      </c>
      <c r="AS70" s="229"/>
      <c r="AT70" s="231"/>
      <c r="AU70" s="191" t="str">
        <f>IF(AND(OR(AS70="",AS70=0),OR(AS70="",AT70=0)),"",IF(OR(AS70="",AS70=0),"DEFINIR PREÇO",IF(OR(AT70="",AT70=0),"DEFINIR FORNECEDOR",IF(OR(AS70&lt;&gt;"",AS70&lt;&gt;0),VLOOKUP(AT70,#REF!,2,FALSE)))))</f>
        <v/>
      </c>
      <c r="AV70" s="217"/>
      <c r="AW70" s="218"/>
      <c r="AX70" s="220" t="str">
        <f t="shared" ref="AX70:AX133" ca="1" si="52">IF(AW70 = "", "", IF(AW70 + 180 &gt; TODAY(),"VIGENTE", "DESATUALIZADA"))</f>
        <v/>
      </c>
      <c r="AY70" s="229"/>
      <c r="AZ70" s="234"/>
      <c r="BA70" s="209" t="str">
        <f>IF(AND(OR(AY70="",AY70=0),OR(AY70="",AZ70=0)),"",IF(OR(AY70="",AY70=0),"DEFINIR PREÇO",IF(OR(AZ70="",AZ70=0),"DEFINIR FORNECEDOR",IF(OR(AY70&lt;&gt;"",AY70&lt;&gt;0),VLOOKUP(AZ70,#REF!,2,FALSE)))))</f>
        <v/>
      </c>
      <c r="BB70" s="217"/>
      <c r="BC70" s="218"/>
      <c r="BD70" s="220" t="str">
        <f t="shared" ref="BD70:BD133" ca="1" si="53">IF(BC70 = "", "", IF(BC70 + 180 &gt; TODAY(),"VIGENTE", "DESATUALIZADA"))</f>
        <v/>
      </c>
      <c r="BE70" s="195"/>
      <c r="BF70" s="196"/>
      <c r="BG70" s="194"/>
      <c r="BH70" s="194"/>
      <c r="BI70" s="194"/>
      <c r="BJ70" s="197"/>
    </row>
    <row r="71" spans="1:62" ht="30" x14ac:dyDescent="0.25">
      <c r="A71" s="44" t="s">
        <v>405</v>
      </c>
      <c r="B71" s="58" t="s">
        <v>373</v>
      </c>
      <c r="C71" s="45">
        <v>4</v>
      </c>
      <c r="D71" s="55" t="s">
        <v>364</v>
      </c>
      <c r="E71" s="45" t="s">
        <v>23</v>
      </c>
      <c r="F71" s="46" t="str">
        <f t="shared" si="40"/>
        <v>DEFINIR CRITÉRIO</v>
      </c>
      <c r="G71" s="47" t="str">
        <f t="shared" si="41"/>
        <v>DEFINIR CRITÉRIO</v>
      </c>
      <c r="H71" s="240" t="s">
        <v>2000</v>
      </c>
      <c r="I71" s="240" t="s">
        <v>2001</v>
      </c>
      <c r="J71" s="242" t="str">
        <f>IFERROR(IF(N71&lt;&gt;"",M71,IF(I71 = PARÂMETROS!$B$5,Q71, IF(I71 = PARÂMETROS!$B$6,R71,IF(I71 = PARÂMETROS!$B$7,S71,IF(I71 = PARÂMETROS!$B$8, T71,"DEFINIR CRITÉRIO"))))),"SEM PREÇO")</f>
        <v>DEFINIR CRITÉRIO</v>
      </c>
      <c r="K71" s="241" t="str">
        <f t="shared" si="42"/>
        <v/>
      </c>
      <c r="L71" s="238" t="str">
        <f t="shared" si="43"/>
        <v/>
      </c>
      <c r="M71" s="51"/>
      <c r="N71" s="52"/>
      <c r="O71" s="53"/>
      <c r="P71" s="235">
        <f t="shared" si="44"/>
        <v>500.31</v>
      </c>
      <c r="Q71" s="236">
        <f t="shared" si="45"/>
        <v>0</v>
      </c>
      <c r="R71" s="236">
        <f t="shared" si="46"/>
        <v>0</v>
      </c>
      <c r="S71" s="236">
        <f t="shared" si="47"/>
        <v>0</v>
      </c>
      <c r="T71" s="236">
        <f t="shared" si="48"/>
        <v>0</v>
      </c>
      <c r="U71" s="237" t="e">
        <f>IF(AA71 = "", "", IF(OR($H71 = PARÂMETROS!$E$5, $H71 = ""), AA71, IF(OR(AA71 &lt; (1-VLOOKUP($H71,PARÂMETROS!$E:$F,2,FALSE))*$P71, AA71 &gt; (1+VLOOKUP($H71,PARÂMETROS!$E:$F,2,FALSE))*$P71),"",AA71)))</f>
        <v>#N/A</v>
      </c>
      <c r="V71" s="237" t="e">
        <f>IF(AG71 = "", "", IF(OR($H71 = PARÂMETROS!$E$5, $H71 = ""), AG71, IF(OR(AG71 &lt; (1-VLOOKUP($H71,PARÂMETROS!$E:$F,2,FALSE))*$P76, AG71 &gt; (1+VLOOKUP($H71,PARÂMETROS!$E:$F,2,FALSE))*$P71),"",AG71)))</f>
        <v>#N/A</v>
      </c>
      <c r="W71" s="237" t="str">
        <f>IF(AM71 = "", "", IF(OR($H71 = PARÂMETROS!$E$5, $H71 = ""), AM71, IF(OR(AM71 &lt; (1-VLOOKUP($H71,PARÂMETROS!$E:$F,2,FALSE))*$P71, AM71 &gt; (1+VLOOKUP($H71,PARÂMETROS!$E:$F,2,FALSE))*$P71),"",AM71)))</f>
        <v/>
      </c>
      <c r="X71" s="237" t="str">
        <f>IF(AS71 = "", "", IF(OR($H71 = PARÂMETROS!$E$5, $H71 = ""), AS71, IF(OR(AS71 &lt; (1-VLOOKUP($H71,PARÂMETROS!$E:$F,2,FALSE))*$P71, AS71 &gt; (1+VLOOKUP($H71,PARÂMETROS!$E:$F,2,FALSE))*$P71),"",AS71)))</f>
        <v/>
      </c>
      <c r="Y71" s="237" t="str">
        <f>IF(AY71 = "", "", IF(OR($H71 = PARÂMETROS!$E$5, $H71 = ""), AY71, IF(OR(AY71 &lt; (1-VLOOKUP($H71,PARÂMETROS!$E:$F,2,FALSE))*$P71, AY71 &gt; (1+VLOOKUP($H71,PARÂMETROS!$E:$F,2,FALSE))*$P71),"",AY71)))</f>
        <v/>
      </c>
      <c r="Z71" s="237" t="str">
        <f>IF(BE71 = "", "", IF(OR($H71 = PARÂMETROS!$E$5, $H71 = ""), BE71, IF(OR(BE71 &lt; (1-VLOOKUP($H71,PARÂMETROS!$E:$F,2,FALSE))*$P71, BE71 &gt; (1+VLOOKUP($H71,PARÂMETROS!$E:$F,2,FALSE))*$P71),"",BE71)))</f>
        <v/>
      </c>
      <c r="AA71" s="207">
        <v>770</v>
      </c>
      <c r="AB71" s="208">
        <v>628</v>
      </c>
      <c r="AC71" s="206" t="e">
        <f>IF(AND(OR(AA71="",AA71=0),OR(AA71="",AB71=0)),"",IF(OR(AA71="",AA71=0),"DEFINIR PREÇO",IF(OR(AB71="",AB71=0),"DEFINIR FORNECEDOR",IF(OR(AA71&lt;&gt;"",AA71&lt;&gt;0),VLOOKUP(AB71,#REF!,2,FALSE)))))</f>
        <v>#REF!</v>
      </c>
      <c r="AD71" s="217" t="s">
        <v>1982</v>
      </c>
      <c r="AE71" s="218">
        <v>44942</v>
      </c>
      <c r="AF71" s="220" t="str">
        <f t="shared" ca="1" si="49"/>
        <v>DESATUALIZADA</v>
      </c>
      <c r="AG71" s="229">
        <v>230.62</v>
      </c>
      <c r="AH71" s="231">
        <v>636</v>
      </c>
      <c r="AI71" s="206" t="e">
        <f>IF(AND(OR(AG71="",AG71=0),OR(AG71="",AH71=0)),"",IF(OR(AG71="",AG71=0),"DEFINIR PREÇO",IF(OR(AH71="",AH71=0),"DEFINIR FORNECEDOR",IF(OR(AG71&lt;&gt;"",AG71&lt;&gt;0),VLOOKUP(AH71,#REF!,2,FALSE)))))</f>
        <v>#REF!</v>
      </c>
      <c r="AJ71" s="219" t="s">
        <v>2014</v>
      </c>
      <c r="AK71" s="218">
        <v>44942</v>
      </c>
      <c r="AL71" s="220" t="str">
        <f t="shared" ca="1" si="50"/>
        <v>DESATUALIZADA</v>
      </c>
      <c r="AM71" s="229"/>
      <c r="AN71" s="231"/>
      <c r="AO71" s="206" t="str">
        <f>IF(AND(OR(AM71="",AM71=0),OR(AM71="",AN71=0)),"",IF(OR(AM71="",AM71=0),"DEFINIR PREÇO",IF(OR(AN71="",AN71=0),"DEFINIR FORNECEDOR",IF(OR(AM71&lt;&gt;"",AM71&lt;&gt;0),VLOOKUP(AN71,#REF!,2,FALSE)))))</f>
        <v/>
      </c>
      <c r="AP71" s="217"/>
      <c r="AQ71" s="218"/>
      <c r="AR71" s="220" t="str">
        <f t="shared" ca="1" si="51"/>
        <v/>
      </c>
      <c r="AS71" s="229"/>
      <c r="AT71" s="231"/>
      <c r="AU71" s="191" t="str">
        <f>IF(AND(OR(AS71="",AS71=0),OR(AS71="",AT71=0)),"",IF(OR(AS71="",AS71=0),"DEFINIR PREÇO",IF(OR(AT71="",AT71=0),"DEFINIR FORNECEDOR",IF(OR(AS71&lt;&gt;"",AS71&lt;&gt;0),VLOOKUP(AT71,#REF!,2,FALSE)))))</f>
        <v/>
      </c>
      <c r="AV71" s="217"/>
      <c r="AW71" s="218"/>
      <c r="AX71" s="220" t="str">
        <f t="shared" ca="1" si="52"/>
        <v/>
      </c>
      <c r="AY71" s="229"/>
      <c r="AZ71" s="234"/>
      <c r="BA71" s="209" t="str">
        <f>IF(AND(OR(AY71="",AY71=0),OR(AY71="",AZ71=0)),"",IF(OR(AY71="",AY71=0),"DEFINIR PREÇO",IF(OR(AZ71="",AZ71=0),"DEFINIR FORNECEDOR",IF(OR(AY71&lt;&gt;"",AY71&lt;&gt;0),VLOOKUP(AZ71,#REF!,2,FALSE)))))</f>
        <v/>
      </c>
      <c r="BB71" s="217"/>
      <c r="BC71" s="218"/>
      <c r="BD71" s="220" t="str">
        <f t="shared" ca="1" si="53"/>
        <v/>
      </c>
      <c r="BE71" s="195"/>
      <c r="BF71" s="196"/>
      <c r="BG71" s="194"/>
      <c r="BH71" s="194"/>
      <c r="BI71" s="194"/>
      <c r="BJ71" s="197"/>
    </row>
    <row r="72" spans="1:62" ht="30" x14ac:dyDescent="0.25">
      <c r="A72" s="44" t="s">
        <v>405</v>
      </c>
      <c r="B72" s="58" t="s">
        <v>374</v>
      </c>
      <c r="C72" s="45">
        <v>4</v>
      </c>
      <c r="D72" s="55" t="s">
        <v>365</v>
      </c>
      <c r="E72" s="45" t="s">
        <v>23</v>
      </c>
      <c r="F72" s="46" t="str">
        <f t="shared" si="40"/>
        <v>DEFINIR CRITÉRIO</v>
      </c>
      <c r="G72" s="47" t="str">
        <f t="shared" si="41"/>
        <v>DEFINIR CRITÉRIO</v>
      </c>
      <c r="H72" s="240" t="s">
        <v>2000</v>
      </c>
      <c r="I72" s="240" t="s">
        <v>2001</v>
      </c>
      <c r="J72" s="242" t="str">
        <f>IFERROR(IF(N72&lt;&gt;"",M72,IF(I72 = PARÂMETROS!$B$5,Q72, IF(I72 = PARÂMETROS!$B$6,R72,IF(I72 = PARÂMETROS!$B$7,S72,IF(I72 = PARÂMETROS!$B$8, T72,"DEFINIR CRITÉRIO"))))),"SEM PREÇO")</f>
        <v>DEFINIR CRITÉRIO</v>
      </c>
      <c r="K72" s="241" t="str">
        <f t="shared" si="42"/>
        <v/>
      </c>
      <c r="L72" s="238" t="str">
        <f t="shared" si="43"/>
        <v/>
      </c>
      <c r="M72" s="51"/>
      <c r="N72" s="52"/>
      <c r="O72" s="53"/>
      <c r="P72" s="235">
        <f t="shared" si="44"/>
        <v>507.30500000000001</v>
      </c>
      <c r="Q72" s="236">
        <f t="shared" si="45"/>
        <v>0</v>
      </c>
      <c r="R72" s="236">
        <f t="shared" si="46"/>
        <v>0</v>
      </c>
      <c r="S72" s="236">
        <f t="shared" si="47"/>
        <v>0</v>
      </c>
      <c r="T72" s="236">
        <f t="shared" si="48"/>
        <v>0</v>
      </c>
      <c r="U72" s="237" t="e">
        <f>IF(AA72 = "", "", IF(OR($H72 = PARÂMETROS!$E$5, $H72 = ""), AA72, IF(OR(AA72 &lt; (1-VLOOKUP($H72,PARÂMETROS!$E:$F,2,FALSE))*$P72, AA72 &gt; (1+VLOOKUP($H72,PARÂMETROS!$E:$F,2,FALSE))*$P72),"",AA72)))</f>
        <v>#N/A</v>
      </c>
      <c r="V72" s="237" t="e">
        <f>IF(AG72 = "", "", IF(OR($H72 = PARÂMETROS!$E$5, $H72 = ""), AG72, IF(OR(AG72 &lt; (1-VLOOKUP($H72,PARÂMETROS!$E:$F,2,FALSE))*$P77, AG72 &gt; (1+VLOOKUP($H72,PARÂMETROS!$E:$F,2,FALSE))*$P72),"",AG72)))</f>
        <v>#N/A</v>
      </c>
      <c r="W72" s="237" t="str">
        <f>IF(AM72 = "", "", IF(OR($H72 = PARÂMETROS!$E$5, $H72 = ""), AM72, IF(OR(AM72 &lt; (1-VLOOKUP($H72,PARÂMETROS!$E:$F,2,FALSE))*$P72, AM72 &gt; (1+VLOOKUP($H72,PARÂMETROS!$E:$F,2,FALSE))*$P72),"",AM72)))</f>
        <v/>
      </c>
      <c r="X72" s="237" t="str">
        <f>IF(AS72 = "", "", IF(OR($H72 = PARÂMETROS!$E$5, $H72 = ""), AS72, IF(OR(AS72 &lt; (1-VLOOKUP($H72,PARÂMETROS!$E:$F,2,FALSE))*$P72, AS72 &gt; (1+VLOOKUP($H72,PARÂMETROS!$E:$F,2,FALSE))*$P72),"",AS72)))</f>
        <v/>
      </c>
      <c r="Y72" s="237" t="str">
        <f>IF(AY72 = "", "", IF(OR($H72 = PARÂMETROS!$E$5, $H72 = ""), AY72, IF(OR(AY72 &lt; (1-VLOOKUP($H72,PARÂMETROS!$E:$F,2,FALSE))*$P72, AY72 &gt; (1+VLOOKUP($H72,PARÂMETROS!$E:$F,2,FALSE))*$P72),"",AY72)))</f>
        <v/>
      </c>
      <c r="Z72" s="237" t="str">
        <f>IF(BE72 = "", "", IF(OR($H72 = PARÂMETROS!$E$5, $H72 = ""), BE72, IF(OR(BE72 &lt; (1-VLOOKUP($H72,PARÂMETROS!$E:$F,2,FALSE))*$P72, BE72 &gt; (1+VLOOKUP($H72,PARÂMETROS!$E:$F,2,FALSE))*$P72),"",BE72)))</f>
        <v/>
      </c>
      <c r="AA72" s="207">
        <v>770</v>
      </c>
      <c r="AB72" s="208">
        <v>628</v>
      </c>
      <c r="AC72" s="206" t="e">
        <f>IF(AND(OR(AA72="",AA72=0),OR(AA72="",AB72=0)),"",IF(OR(AA72="",AA72=0),"DEFINIR PREÇO",IF(OR(AB72="",AB72=0),"DEFINIR FORNECEDOR",IF(OR(AA72&lt;&gt;"",AA72&lt;&gt;0),VLOOKUP(AB72,#REF!,2,FALSE)))))</f>
        <v>#REF!</v>
      </c>
      <c r="AD72" s="217" t="s">
        <v>1982</v>
      </c>
      <c r="AE72" s="218">
        <v>44942</v>
      </c>
      <c r="AF72" s="220" t="str">
        <f t="shared" ca="1" si="49"/>
        <v>DESATUALIZADA</v>
      </c>
      <c r="AG72" s="229">
        <v>244.61</v>
      </c>
      <c r="AH72" s="231">
        <v>636</v>
      </c>
      <c r="AI72" s="206" t="e">
        <f>IF(AND(OR(AG72="",AG72=0),OR(AG72="",AH72=0)),"",IF(OR(AG72="",AG72=0),"DEFINIR PREÇO",IF(OR(AH72="",AH72=0),"DEFINIR FORNECEDOR",IF(OR(AG72&lt;&gt;"",AG72&lt;&gt;0),VLOOKUP(AH72,#REF!,2,FALSE)))))</f>
        <v>#REF!</v>
      </c>
      <c r="AJ72" s="219" t="s">
        <v>2014</v>
      </c>
      <c r="AK72" s="218">
        <v>44942</v>
      </c>
      <c r="AL72" s="220" t="str">
        <f t="shared" ca="1" si="50"/>
        <v>DESATUALIZADA</v>
      </c>
      <c r="AM72" s="229"/>
      <c r="AN72" s="231"/>
      <c r="AO72" s="206" t="str">
        <f>IF(AND(OR(AM72="",AM72=0),OR(AM72="",AN72=0)),"",IF(OR(AM72="",AM72=0),"DEFINIR PREÇO",IF(OR(AN72="",AN72=0),"DEFINIR FORNECEDOR",IF(OR(AM72&lt;&gt;"",AM72&lt;&gt;0),VLOOKUP(AN72,#REF!,2,FALSE)))))</f>
        <v/>
      </c>
      <c r="AP72" s="217"/>
      <c r="AQ72" s="218"/>
      <c r="AR72" s="220" t="str">
        <f t="shared" ca="1" si="51"/>
        <v/>
      </c>
      <c r="AS72" s="229"/>
      <c r="AT72" s="231"/>
      <c r="AU72" s="191" t="str">
        <f>IF(AND(OR(AS72="",AS72=0),OR(AS72="",AT72=0)),"",IF(OR(AS72="",AS72=0),"DEFINIR PREÇO",IF(OR(AT72="",AT72=0),"DEFINIR FORNECEDOR",IF(OR(AS72&lt;&gt;"",AS72&lt;&gt;0),VLOOKUP(AT72,#REF!,2,FALSE)))))</f>
        <v/>
      </c>
      <c r="AV72" s="217"/>
      <c r="AW72" s="218"/>
      <c r="AX72" s="220" t="str">
        <f t="shared" ca="1" si="52"/>
        <v/>
      </c>
      <c r="AY72" s="229"/>
      <c r="AZ72" s="234"/>
      <c r="BA72" s="209" t="str">
        <f>IF(AND(OR(AY72="",AY72=0),OR(AY72="",AZ72=0)),"",IF(OR(AY72="",AY72=0),"DEFINIR PREÇO",IF(OR(AZ72="",AZ72=0),"DEFINIR FORNECEDOR",IF(OR(AY72&lt;&gt;"",AY72&lt;&gt;0),VLOOKUP(AZ72,#REF!,2,FALSE)))))</f>
        <v/>
      </c>
      <c r="BB72" s="217"/>
      <c r="BC72" s="218"/>
      <c r="BD72" s="220" t="str">
        <f t="shared" ca="1" si="53"/>
        <v/>
      </c>
      <c r="BE72" s="195"/>
      <c r="BF72" s="196"/>
      <c r="BG72" s="194"/>
      <c r="BH72" s="194"/>
      <c r="BI72" s="194"/>
      <c r="BJ72" s="197"/>
    </row>
    <row r="73" spans="1:62" ht="30" x14ac:dyDescent="0.25">
      <c r="A73" s="44" t="s">
        <v>405</v>
      </c>
      <c r="B73" s="58" t="s">
        <v>376</v>
      </c>
      <c r="C73" s="45">
        <v>4</v>
      </c>
      <c r="D73" s="55" t="s">
        <v>366</v>
      </c>
      <c r="E73" s="45" t="s">
        <v>23</v>
      </c>
      <c r="F73" s="46" t="str">
        <f t="shared" si="40"/>
        <v>DEFINIR CRITÉRIO</v>
      </c>
      <c r="G73" s="47" t="str">
        <f t="shared" si="41"/>
        <v>DEFINIR CRITÉRIO</v>
      </c>
      <c r="H73" s="240" t="s">
        <v>2000</v>
      </c>
      <c r="I73" s="240" t="s">
        <v>2001</v>
      </c>
      <c r="J73" s="242" t="str">
        <f>IFERROR(IF(N73&lt;&gt;"",M73,IF(I73 = PARÂMETROS!$B$5,Q73, IF(I73 = PARÂMETROS!$B$6,R73,IF(I73 = PARÂMETROS!$B$7,S73,IF(I73 = PARÂMETROS!$B$8, T73,"DEFINIR CRITÉRIO"))))),"SEM PREÇO")</f>
        <v>DEFINIR CRITÉRIO</v>
      </c>
      <c r="K73" s="241" t="str">
        <f t="shared" si="42"/>
        <v/>
      </c>
      <c r="L73" s="238" t="str">
        <f t="shared" si="43"/>
        <v/>
      </c>
      <c r="M73" s="51"/>
      <c r="N73" s="52"/>
      <c r="O73" s="53"/>
      <c r="P73" s="235">
        <f t="shared" si="44"/>
        <v>500.31</v>
      </c>
      <c r="Q73" s="236">
        <f t="shared" si="45"/>
        <v>0</v>
      </c>
      <c r="R73" s="236">
        <f t="shared" si="46"/>
        <v>0</v>
      </c>
      <c r="S73" s="236">
        <f t="shared" si="47"/>
        <v>0</v>
      </c>
      <c r="T73" s="236">
        <f t="shared" si="48"/>
        <v>0</v>
      </c>
      <c r="U73" s="237" t="e">
        <f>IF(AA73 = "", "", IF(OR($H73 = PARÂMETROS!$E$5, $H73 = ""), AA73, IF(OR(AA73 &lt; (1-VLOOKUP($H73,PARÂMETROS!$E:$F,2,FALSE))*$P73, AA73 &gt; (1+VLOOKUP($H73,PARÂMETROS!$E:$F,2,FALSE))*$P73),"",AA73)))</f>
        <v>#N/A</v>
      </c>
      <c r="V73" s="237" t="e">
        <f>IF(AG73 = "", "", IF(OR($H73 = PARÂMETROS!$E$5, $H73 = ""), AG73, IF(OR(AG73 &lt; (1-VLOOKUP($H73,PARÂMETROS!$E:$F,2,FALSE))*$P78, AG73 &gt; (1+VLOOKUP($H73,PARÂMETROS!$E:$F,2,FALSE))*$P73),"",AG73)))</f>
        <v>#N/A</v>
      </c>
      <c r="W73" s="237" t="str">
        <f>IF(AM73 = "", "", IF(OR($H73 = PARÂMETROS!$E$5, $H73 = ""), AM73, IF(OR(AM73 &lt; (1-VLOOKUP($H73,PARÂMETROS!$E:$F,2,FALSE))*$P73, AM73 &gt; (1+VLOOKUP($H73,PARÂMETROS!$E:$F,2,FALSE))*$P73),"",AM73)))</f>
        <v/>
      </c>
      <c r="X73" s="237" t="str">
        <f>IF(AS73 = "", "", IF(OR($H73 = PARÂMETROS!$E$5, $H73 = ""), AS73, IF(OR(AS73 &lt; (1-VLOOKUP($H73,PARÂMETROS!$E:$F,2,FALSE))*$P73, AS73 &gt; (1+VLOOKUP($H73,PARÂMETROS!$E:$F,2,FALSE))*$P73),"",AS73)))</f>
        <v/>
      </c>
      <c r="Y73" s="237" t="str">
        <f>IF(AY73 = "", "", IF(OR($H73 = PARÂMETROS!$E$5, $H73 = ""), AY73, IF(OR(AY73 &lt; (1-VLOOKUP($H73,PARÂMETROS!$E:$F,2,FALSE))*$P73, AY73 &gt; (1+VLOOKUP($H73,PARÂMETROS!$E:$F,2,FALSE))*$P73),"",AY73)))</f>
        <v/>
      </c>
      <c r="Z73" s="237" t="str">
        <f>IF(BE73 = "", "", IF(OR($H73 = PARÂMETROS!$E$5, $H73 = ""), BE73, IF(OR(BE73 &lt; (1-VLOOKUP($H73,PARÂMETROS!$E:$F,2,FALSE))*$P73, BE73 &gt; (1+VLOOKUP($H73,PARÂMETROS!$E:$F,2,FALSE))*$P73),"",BE73)))</f>
        <v/>
      </c>
      <c r="AA73" s="207">
        <v>770</v>
      </c>
      <c r="AB73" s="208">
        <v>628</v>
      </c>
      <c r="AC73" s="206" t="e">
        <f>IF(AND(OR(AA73="",AA73=0),OR(AA73="",AB73=0)),"",IF(OR(AA73="",AA73=0),"DEFINIR PREÇO",IF(OR(AB73="",AB73=0),"DEFINIR FORNECEDOR",IF(OR(AA73&lt;&gt;"",AA73&lt;&gt;0),VLOOKUP(AB73,#REF!,2,FALSE)))))</f>
        <v>#REF!</v>
      </c>
      <c r="AD73" s="217" t="s">
        <v>1982</v>
      </c>
      <c r="AE73" s="218">
        <v>44942</v>
      </c>
      <c r="AF73" s="220" t="str">
        <f t="shared" ca="1" si="49"/>
        <v>DESATUALIZADA</v>
      </c>
      <c r="AG73" s="229">
        <v>230.62</v>
      </c>
      <c r="AH73" s="231">
        <v>636</v>
      </c>
      <c r="AI73" s="206" t="e">
        <f>IF(AND(OR(AG73="",AG73=0),OR(AG73="",AH73=0)),"",IF(OR(AG73="",AG73=0),"DEFINIR PREÇO",IF(OR(AH73="",AH73=0),"DEFINIR FORNECEDOR",IF(OR(AG73&lt;&gt;"",AG73&lt;&gt;0),VLOOKUP(AH73,#REF!,2,FALSE)))))</f>
        <v>#REF!</v>
      </c>
      <c r="AJ73" s="219" t="s">
        <v>2014</v>
      </c>
      <c r="AK73" s="218">
        <v>44942</v>
      </c>
      <c r="AL73" s="220" t="str">
        <f t="shared" ca="1" si="50"/>
        <v>DESATUALIZADA</v>
      </c>
      <c r="AM73" s="229"/>
      <c r="AN73" s="231"/>
      <c r="AO73" s="206" t="str">
        <f>IF(AND(OR(AM73="",AM73=0),OR(AM73="",AN73=0)),"",IF(OR(AM73="",AM73=0),"DEFINIR PREÇO",IF(OR(AN73="",AN73=0),"DEFINIR FORNECEDOR",IF(OR(AM73&lt;&gt;"",AM73&lt;&gt;0),VLOOKUP(AN73,#REF!,2,FALSE)))))</f>
        <v/>
      </c>
      <c r="AP73" s="217"/>
      <c r="AQ73" s="218"/>
      <c r="AR73" s="220" t="str">
        <f t="shared" ca="1" si="51"/>
        <v/>
      </c>
      <c r="AS73" s="229"/>
      <c r="AT73" s="231"/>
      <c r="AU73" s="191" t="str">
        <f>IF(AND(OR(AS73="",AS73=0),OR(AS73="",AT73=0)),"",IF(OR(AS73="",AS73=0),"DEFINIR PREÇO",IF(OR(AT73="",AT73=0),"DEFINIR FORNECEDOR",IF(OR(AS73&lt;&gt;"",AS73&lt;&gt;0),VLOOKUP(AT73,#REF!,2,FALSE)))))</f>
        <v/>
      </c>
      <c r="AV73" s="217"/>
      <c r="AW73" s="218"/>
      <c r="AX73" s="220" t="str">
        <f t="shared" ca="1" si="52"/>
        <v/>
      </c>
      <c r="AY73" s="229"/>
      <c r="AZ73" s="234"/>
      <c r="BA73" s="209" t="str">
        <f>IF(AND(OR(AY73="",AY73=0),OR(AY73="",AZ73=0)),"",IF(OR(AY73="",AY73=0),"DEFINIR PREÇO",IF(OR(AZ73="",AZ73=0),"DEFINIR FORNECEDOR",IF(OR(AY73&lt;&gt;"",AY73&lt;&gt;0),VLOOKUP(AZ73,#REF!,2,FALSE)))))</f>
        <v/>
      </c>
      <c r="BB73" s="217"/>
      <c r="BC73" s="218"/>
      <c r="BD73" s="220" t="str">
        <f t="shared" ca="1" si="53"/>
        <v/>
      </c>
      <c r="BE73" s="195"/>
      <c r="BF73" s="196"/>
      <c r="BG73" s="194"/>
      <c r="BH73" s="194"/>
      <c r="BI73" s="194"/>
      <c r="BJ73" s="197"/>
    </row>
    <row r="74" spans="1:62" ht="30" x14ac:dyDescent="0.25">
      <c r="A74" s="44" t="s">
        <v>405</v>
      </c>
      <c r="B74" s="58" t="s">
        <v>158</v>
      </c>
      <c r="C74" s="45">
        <v>4</v>
      </c>
      <c r="D74" s="55" t="s">
        <v>156</v>
      </c>
      <c r="E74" s="45" t="s">
        <v>31</v>
      </c>
      <c r="F74" s="46" t="str">
        <f t="shared" si="40"/>
        <v>DEFINIR CRITÉRIO</v>
      </c>
      <c r="G74" s="47" t="str">
        <f t="shared" si="41"/>
        <v>DEFINIR CRITÉRIO</v>
      </c>
      <c r="H74" s="240" t="s">
        <v>2000</v>
      </c>
      <c r="I74" s="240" t="s">
        <v>2001</v>
      </c>
      <c r="J74" s="242" t="str">
        <f>IFERROR(IF(N74&lt;&gt;"",M74,IF(I74 = PARÂMETROS!$B$5,Q74, IF(I74 = PARÂMETROS!$B$6,R74,IF(I74 = PARÂMETROS!$B$7,S74,IF(I74 = PARÂMETROS!$B$8, T74,"DEFINIR CRITÉRIO"))))),"SEM PREÇO")</f>
        <v>DEFINIR CRITÉRIO</v>
      </c>
      <c r="K74" s="241" t="str">
        <f t="shared" si="42"/>
        <v/>
      </c>
      <c r="L74" s="238" t="str">
        <f t="shared" si="43"/>
        <v/>
      </c>
      <c r="M74" s="51"/>
      <c r="N74" s="52"/>
      <c r="O74" s="53"/>
      <c r="P74" s="235">
        <f t="shared" si="44"/>
        <v>64.773333333333326</v>
      </c>
      <c r="Q74" s="236">
        <f t="shared" si="45"/>
        <v>0</v>
      </c>
      <c r="R74" s="236">
        <f t="shared" si="46"/>
        <v>0</v>
      </c>
      <c r="S74" s="236">
        <f t="shared" si="47"/>
        <v>0</v>
      </c>
      <c r="T74" s="236">
        <f t="shared" si="48"/>
        <v>0</v>
      </c>
      <c r="U74" s="237" t="e">
        <f>IF(AA74 = "", "", IF(OR($H74 = PARÂMETROS!$E$5, $H74 = ""), AA74, IF(OR(AA74 &lt; (1-VLOOKUP($H74,PARÂMETROS!$E:$F,2,FALSE))*$P74, AA74 &gt; (1+VLOOKUP($H74,PARÂMETROS!$E:$F,2,FALSE))*$P74),"",AA74)))</f>
        <v>#N/A</v>
      </c>
      <c r="V74" s="237" t="e">
        <f>IF(AG74 = "", "", IF(OR($H74 = PARÂMETROS!$E$5, $H74 = ""), AG74, IF(OR(AG74 &lt; (1-VLOOKUP($H74,PARÂMETROS!$E:$F,2,FALSE))*$P79, AG74 &gt; (1+VLOOKUP($H74,PARÂMETROS!$E:$F,2,FALSE))*$P74),"",AG74)))</f>
        <v>#N/A</v>
      </c>
      <c r="W74" s="237" t="e">
        <f>IF(AM74 = "", "", IF(OR($H74 = PARÂMETROS!$E$5, $H74 = ""), AM74, IF(OR(AM74 &lt; (1-VLOOKUP($H74,PARÂMETROS!$E:$F,2,FALSE))*$P74, AM74 &gt; (1+VLOOKUP($H74,PARÂMETROS!$E:$F,2,FALSE))*$P74),"",AM74)))</f>
        <v>#N/A</v>
      </c>
      <c r="X74" s="237" t="str">
        <f>IF(AS74 = "", "", IF(OR($H74 = PARÂMETROS!$E$5, $H74 = ""), AS74, IF(OR(AS74 &lt; (1-VLOOKUP($H74,PARÂMETROS!$E:$F,2,FALSE))*$P74, AS74 &gt; (1+VLOOKUP($H74,PARÂMETROS!$E:$F,2,FALSE))*$P74),"",AS74)))</f>
        <v/>
      </c>
      <c r="Y74" s="237" t="str">
        <f>IF(AY74 = "", "", IF(OR($H74 = PARÂMETROS!$E$5, $H74 = ""), AY74, IF(OR(AY74 &lt; (1-VLOOKUP($H74,PARÂMETROS!$E:$F,2,FALSE))*$P74, AY74 &gt; (1+VLOOKUP($H74,PARÂMETROS!$E:$F,2,FALSE))*$P74),"",AY74)))</f>
        <v/>
      </c>
      <c r="Z74" s="237" t="str">
        <f>IF(BE74 = "", "", IF(OR($H74 = PARÂMETROS!$E$5, $H74 = ""), BE74, IF(OR(BE74 &lt; (1-VLOOKUP($H74,PARÂMETROS!$E:$F,2,FALSE))*$P74, BE74 &gt; (1+VLOOKUP($H74,PARÂMETROS!$E:$F,2,FALSE))*$P74),"",BE74)))</f>
        <v/>
      </c>
      <c r="AA74" s="207">
        <v>64.67</v>
      </c>
      <c r="AB74" s="208">
        <v>307</v>
      </c>
      <c r="AC74" s="206" t="e">
        <f>IF(AND(OR(AA74="",AA74=0),OR(AA74="",AB74=0)),"",IF(OR(AA74="",AA74=0),"DEFINIR PREÇO",IF(OR(AB74="",AB74=0),"DEFINIR FORNECEDOR",IF(OR(AA74&lt;&gt;"",AA74&lt;&gt;0),VLOOKUP(AB74,#REF!,2,FALSE)))))</f>
        <v>#REF!</v>
      </c>
      <c r="AD74" s="217" t="s">
        <v>1977</v>
      </c>
      <c r="AE74" s="218">
        <v>44937</v>
      </c>
      <c r="AF74" s="220" t="str">
        <f t="shared" ca="1" si="49"/>
        <v>DESATUALIZADA</v>
      </c>
      <c r="AG74" s="229">
        <v>61.93</v>
      </c>
      <c r="AH74" s="231">
        <v>741</v>
      </c>
      <c r="AI74" s="206" t="e">
        <f>IF(AND(OR(AG74="",AG74=0),OR(AG74="",AH74=0)),"",IF(OR(AG74="",AG74=0),"DEFINIR PREÇO",IF(OR(AH74="",AH74=0),"DEFINIR FORNECEDOR",IF(OR(AG74&lt;&gt;"",AG74&lt;&gt;0),VLOOKUP(AH74,#REF!,2,FALSE)))))</f>
        <v>#REF!</v>
      </c>
      <c r="AJ74" s="217" t="s">
        <v>1977</v>
      </c>
      <c r="AK74" s="218">
        <v>44937</v>
      </c>
      <c r="AL74" s="220" t="str">
        <f t="shared" ca="1" si="50"/>
        <v>DESATUALIZADA</v>
      </c>
      <c r="AM74" s="229">
        <v>67.72</v>
      </c>
      <c r="AN74" s="231">
        <v>980</v>
      </c>
      <c r="AO74" s="206" t="e">
        <f>IF(AND(OR(AM74="",AM74=0),OR(AM74="",AN74=0)),"",IF(OR(AM74="",AM74=0),"DEFINIR PREÇO",IF(OR(AN74="",AN74=0),"DEFINIR FORNECEDOR",IF(OR(AM74&lt;&gt;"",AM74&lt;&gt;0),VLOOKUP(AN74,#REF!,2,FALSE)))))</f>
        <v>#REF!</v>
      </c>
      <c r="AP74" s="217" t="s">
        <v>1977</v>
      </c>
      <c r="AQ74" s="218">
        <v>44937</v>
      </c>
      <c r="AR74" s="220" t="str">
        <f t="shared" ca="1" si="51"/>
        <v>DESATUALIZADA</v>
      </c>
      <c r="AS74" s="229"/>
      <c r="AT74" s="231"/>
      <c r="AU74" s="191" t="str">
        <f>IF(AND(OR(AS74="",AS74=0),OR(AS74="",AT74=0)),"",IF(OR(AS74="",AS74=0),"DEFINIR PREÇO",IF(OR(AT74="",AT74=0),"DEFINIR FORNECEDOR",IF(OR(AS74&lt;&gt;"",AS74&lt;&gt;0),VLOOKUP(AT74,#REF!,2,FALSE)))))</f>
        <v/>
      </c>
      <c r="AV74" s="217"/>
      <c r="AW74" s="218"/>
      <c r="AX74" s="220" t="str">
        <f t="shared" ca="1" si="52"/>
        <v/>
      </c>
      <c r="AY74" s="229"/>
      <c r="AZ74" s="234"/>
      <c r="BA74" s="209" t="str">
        <f>IF(AND(OR(AY74="",AY74=0),OR(AY74="",AZ74=0)),"",IF(OR(AY74="",AY74=0),"DEFINIR PREÇO",IF(OR(AZ74="",AZ74=0),"DEFINIR FORNECEDOR",IF(OR(AY74&lt;&gt;"",AY74&lt;&gt;0),VLOOKUP(AZ74,#REF!,2,FALSE)))))</f>
        <v/>
      </c>
      <c r="BB74" s="217"/>
      <c r="BC74" s="218"/>
      <c r="BD74" s="220" t="str">
        <f t="shared" ca="1" si="53"/>
        <v/>
      </c>
      <c r="BE74" s="195"/>
      <c r="BF74" s="196"/>
      <c r="BG74" s="194"/>
      <c r="BH74" s="194"/>
      <c r="BI74" s="194"/>
      <c r="BJ74" s="197"/>
    </row>
    <row r="75" spans="1:62" ht="30" x14ac:dyDescent="0.25">
      <c r="A75" s="44" t="s">
        <v>405</v>
      </c>
      <c r="B75" s="58" t="s">
        <v>1087</v>
      </c>
      <c r="C75" s="45">
        <v>4</v>
      </c>
      <c r="D75" s="55" t="s">
        <v>1088</v>
      </c>
      <c r="E75" s="45" t="s">
        <v>31</v>
      </c>
      <c r="F75" s="46" t="str">
        <f>J75</f>
        <v>DEFINIR CRITÉRIO</v>
      </c>
      <c r="G75" s="47" t="str">
        <f t="shared" ref="G75:G77" si="54">J75</f>
        <v>DEFINIR CRITÉRIO</v>
      </c>
      <c r="H75" s="240" t="s">
        <v>2000</v>
      </c>
      <c r="I75" s="240" t="s">
        <v>2001</v>
      </c>
      <c r="J75" s="242" t="str">
        <f>IFERROR(IF(N75&lt;&gt;"",M75,IF(I75 = PARÂMETROS!$B$5,Q75, IF(I75 = PARÂMETROS!$B$6,R75,IF(I75 = PARÂMETROS!$B$7,S75,IF(I75 = PARÂMETROS!$B$8, T75,"DEFINIR CRITÉRIO"))))),"SEM PREÇO")</f>
        <v>DEFINIR CRITÉRIO</v>
      </c>
      <c r="K75" s="241" t="str">
        <f t="shared" si="42"/>
        <v/>
      </c>
      <c r="L75" s="238" t="str">
        <f t="shared" si="43"/>
        <v/>
      </c>
      <c r="M75" s="51"/>
      <c r="N75" s="52"/>
      <c r="O75" s="53"/>
      <c r="P75" s="235">
        <f t="shared" si="44"/>
        <v>296.15666666666669</v>
      </c>
      <c r="Q75" s="236">
        <f t="shared" si="45"/>
        <v>0</v>
      </c>
      <c r="R75" s="236">
        <f t="shared" si="46"/>
        <v>0</v>
      </c>
      <c r="S75" s="236">
        <f t="shared" si="47"/>
        <v>0</v>
      </c>
      <c r="T75" s="236">
        <f t="shared" si="48"/>
        <v>0</v>
      </c>
      <c r="U75" s="237" t="e">
        <f>IF(AA75 = "", "", IF(OR($H75 = PARÂMETROS!$E$5, $H75 = ""), AA75, IF(OR(AA75 &lt; (1-VLOOKUP($H75,PARÂMETROS!$E:$F,2,FALSE))*$P75, AA75 &gt; (1+VLOOKUP($H75,PARÂMETROS!$E:$F,2,FALSE))*$P75),"",AA75)))</f>
        <v>#N/A</v>
      </c>
      <c r="V75" s="237" t="e">
        <f>IF(AG75 = "", "", IF(OR($H75 = PARÂMETROS!$E$5, $H75 = ""), AG75, IF(OR(AG75 &lt; (1-VLOOKUP($H75,PARÂMETROS!$E:$F,2,FALSE))*$P80, AG75 &gt; (1+VLOOKUP($H75,PARÂMETROS!$E:$F,2,FALSE))*$P75),"",AG75)))</f>
        <v>#N/A</v>
      </c>
      <c r="W75" s="237" t="e">
        <f>IF(AM75 = "", "", IF(OR($H75 = PARÂMETROS!$E$5, $H75 = ""), AM75, IF(OR(AM75 &lt; (1-VLOOKUP($H75,PARÂMETROS!$E:$F,2,FALSE))*$P75, AM75 &gt; (1+VLOOKUP($H75,PARÂMETROS!$E:$F,2,FALSE))*$P75),"",AM75)))</f>
        <v>#N/A</v>
      </c>
      <c r="X75" s="237" t="str">
        <f>IF(AS75 = "", "", IF(OR($H75 = PARÂMETROS!$E$5, $H75 = ""), AS75, IF(OR(AS75 &lt; (1-VLOOKUP($H75,PARÂMETROS!$E:$F,2,FALSE))*$P75, AS75 &gt; (1+VLOOKUP($H75,PARÂMETROS!$E:$F,2,FALSE))*$P75),"",AS75)))</f>
        <v/>
      </c>
      <c r="Y75" s="237" t="str">
        <f>IF(AY75 = "", "", IF(OR($H75 = PARÂMETROS!$E$5, $H75 = ""), AY75, IF(OR(AY75 &lt; (1-VLOOKUP($H75,PARÂMETROS!$E:$F,2,FALSE))*$P75, AY75 &gt; (1+VLOOKUP($H75,PARÂMETROS!$E:$F,2,FALSE))*$P75),"",AY75)))</f>
        <v/>
      </c>
      <c r="Z75" s="237" t="str">
        <f>IF(BE75 = "", "", IF(OR($H75 = PARÂMETROS!$E$5, $H75 = ""), BE75, IF(OR(BE75 &lt; (1-VLOOKUP($H75,PARÂMETROS!$E:$F,2,FALSE))*$P75, BE75 &gt; (1+VLOOKUP($H75,PARÂMETROS!$E:$F,2,FALSE))*$P75),"",BE75)))</f>
        <v/>
      </c>
      <c r="AA75" s="207">
        <v>255.44</v>
      </c>
      <c r="AB75" s="208">
        <v>348</v>
      </c>
      <c r="AC75" s="206" t="e">
        <f>IF(AND(OR(AA75="",AA75=0),OR(AA75="",AB75=0)),"",IF(OR(AA75="",AA75=0),"DEFINIR PREÇO",IF(OR(AB75="",AB75=0),"DEFINIR FORNECEDOR",IF(OR(AA75&lt;&gt;"",AA75&lt;&gt;0),VLOOKUP(AB75,#REF!,2,FALSE)))))</f>
        <v>#REF!</v>
      </c>
      <c r="AD75" s="217" t="s">
        <v>1977</v>
      </c>
      <c r="AE75" s="218">
        <v>44937</v>
      </c>
      <c r="AF75" s="220" t="str">
        <f t="shared" ca="1" si="49"/>
        <v>DESATUALIZADA</v>
      </c>
      <c r="AG75" s="229">
        <v>325.83</v>
      </c>
      <c r="AH75" s="231">
        <v>626</v>
      </c>
      <c r="AI75" s="206" t="e">
        <f>IF(AND(OR(AG75="",AG75=0),OR(AG75="",AH75=0)),"",IF(OR(AG75="",AG75=0),"DEFINIR PREÇO",IF(OR(AH75="",AH75=0),"DEFINIR FORNECEDOR",IF(OR(AG75&lt;&gt;"",AG75&lt;&gt;0),VLOOKUP(AH75,#REF!,2,FALSE)))))</f>
        <v>#REF!</v>
      </c>
      <c r="AJ75" s="217" t="s">
        <v>1977</v>
      </c>
      <c r="AK75" s="218">
        <v>44937</v>
      </c>
      <c r="AL75" s="220" t="str">
        <f t="shared" ca="1" si="50"/>
        <v>DESATUALIZADA</v>
      </c>
      <c r="AM75" s="229">
        <v>307.2</v>
      </c>
      <c r="AN75" s="231">
        <v>634</v>
      </c>
      <c r="AO75" s="206" t="e">
        <f>IF(AND(OR(AM75="",AM75=0),OR(AM75="",AN75=0)),"",IF(OR(AM75="",AM75=0),"DEFINIR PREÇO",IF(OR(AN75="",AN75=0),"DEFINIR FORNECEDOR",IF(OR(AM75&lt;&gt;"",AM75&lt;&gt;0),VLOOKUP(AN75,#REF!,2,FALSE)))))</f>
        <v>#REF!</v>
      </c>
      <c r="AP75" s="217" t="s">
        <v>1977</v>
      </c>
      <c r="AQ75" s="218">
        <v>44937</v>
      </c>
      <c r="AR75" s="220" t="str">
        <f t="shared" ca="1" si="51"/>
        <v>DESATUALIZADA</v>
      </c>
      <c r="AS75" s="229"/>
      <c r="AT75" s="231"/>
      <c r="AU75" s="191" t="str">
        <f>IF(AND(OR(AS75="",AS75=0),OR(AS75="",AT75=0)),"",IF(OR(AS75="",AS75=0),"DEFINIR PREÇO",IF(OR(AT75="",AT75=0),"DEFINIR FORNECEDOR",IF(OR(AS75&lt;&gt;"",AS75&lt;&gt;0),VLOOKUP(AT75,#REF!,2,FALSE)))))</f>
        <v/>
      </c>
      <c r="AV75" s="217"/>
      <c r="AW75" s="218"/>
      <c r="AX75" s="220" t="str">
        <f t="shared" ca="1" si="52"/>
        <v/>
      </c>
      <c r="AY75" s="229"/>
      <c r="AZ75" s="234"/>
      <c r="BA75" s="209" t="str">
        <f>IF(AND(OR(AY75="",AY75=0),OR(AY75="",AZ75=0)),"",IF(OR(AY75="",AY75=0),"DEFINIR PREÇO",IF(OR(AZ75="",AZ75=0),"DEFINIR FORNECEDOR",IF(OR(AY75&lt;&gt;"",AY75&lt;&gt;0),VLOOKUP(AZ75,#REF!,2,FALSE)))))</f>
        <v/>
      </c>
      <c r="BB75" s="217"/>
      <c r="BC75" s="218"/>
      <c r="BD75" s="220" t="str">
        <f t="shared" ca="1" si="53"/>
        <v/>
      </c>
      <c r="BE75" s="195"/>
      <c r="BF75" s="196"/>
      <c r="BG75" s="194"/>
      <c r="BH75" s="194"/>
      <c r="BI75" s="194"/>
      <c r="BJ75" s="197"/>
    </row>
    <row r="76" spans="1:62" x14ac:dyDescent="0.25">
      <c r="A76" s="44" t="s">
        <v>405</v>
      </c>
      <c r="B76" s="45" t="s">
        <v>481</v>
      </c>
      <c r="C76" s="45">
        <v>4</v>
      </c>
      <c r="D76" s="55" t="s">
        <v>245</v>
      </c>
      <c r="E76" s="45" t="s">
        <v>23</v>
      </c>
      <c r="F76" s="46" t="str">
        <f t="shared" ref="F76:F77" si="55">J76</f>
        <v>SEM PREÇO</v>
      </c>
      <c r="G76" s="47" t="str">
        <f t="shared" si="54"/>
        <v>SEM PREÇO</v>
      </c>
      <c r="H76" s="240" t="s">
        <v>2000</v>
      </c>
      <c r="I76" s="240" t="s">
        <v>2001</v>
      </c>
      <c r="J76" s="242" t="str">
        <f>IFERROR(IF(N76&lt;&gt;"",M76,IF(I76 = PARÂMETROS!$B$5,Q76, IF(I76 = PARÂMETROS!$B$6,R76,IF(I76 = PARÂMETROS!$B$7,S76,IF(I76 = PARÂMETROS!$B$8, T76,"DEFINIR CRITÉRIO"))))),"SEM PREÇO")</f>
        <v>SEM PREÇO</v>
      </c>
      <c r="K76" s="241">
        <f t="shared" si="42"/>
        <v>0</v>
      </c>
      <c r="L76" s="238" t="str">
        <f t="shared" si="43"/>
        <v/>
      </c>
      <c r="M76" s="51" t="e">
        <f>VLOOKUP(N76,#REF!,4,FALSE)</f>
        <v>#REF!</v>
      </c>
      <c r="N76" s="52">
        <v>11831</v>
      </c>
      <c r="O76" s="53" t="s">
        <v>404</v>
      </c>
      <c r="P76" s="235">
        <f t="shared" si="44"/>
        <v>0</v>
      </c>
      <c r="Q76" s="236">
        <f t="shared" si="45"/>
        <v>0</v>
      </c>
      <c r="R76" s="236">
        <f t="shared" si="46"/>
        <v>0</v>
      </c>
      <c r="S76" s="236">
        <f t="shared" si="47"/>
        <v>0</v>
      </c>
      <c r="T76" s="236">
        <f t="shared" si="48"/>
        <v>0</v>
      </c>
      <c r="U76" s="237" t="str">
        <f>IF(AA76 = "", "", IF(OR($H76 = PARÂMETROS!$E$5, $H76 = ""), AA76, IF(OR(AA76 &lt; (1-VLOOKUP($H76,PARÂMETROS!$E:$F,2,FALSE))*$P76, AA76 &gt; (1+VLOOKUP($H76,PARÂMETROS!$E:$F,2,FALSE))*$P76),"",AA76)))</f>
        <v/>
      </c>
      <c r="V76" s="237" t="str">
        <f>IF(AG76 = "", "", IF(OR($H76 = PARÂMETROS!$E$5, $H76 = ""), AG76, IF(OR(AG76 &lt; (1-VLOOKUP($H76,PARÂMETROS!$E:$F,2,FALSE))*$P81, AG76 &gt; (1+VLOOKUP($H76,PARÂMETROS!$E:$F,2,FALSE))*$P76),"",AG76)))</f>
        <v/>
      </c>
      <c r="W76" s="237" t="str">
        <f>IF(AM76 = "", "", IF(OR($H76 = PARÂMETROS!$E$5, $H76 = ""), AM76, IF(OR(AM76 &lt; (1-VLOOKUP($H76,PARÂMETROS!$E:$F,2,FALSE))*$P76, AM76 &gt; (1+VLOOKUP($H76,PARÂMETROS!$E:$F,2,FALSE))*$P76),"",AM76)))</f>
        <v/>
      </c>
      <c r="X76" s="237" t="str">
        <f>IF(AS76 = "", "", IF(OR($H76 = PARÂMETROS!$E$5, $H76 = ""), AS76, IF(OR(AS76 &lt; (1-VLOOKUP($H76,PARÂMETROS!$E:$F,2,FALSE))*$P76, AS76 &gt; (1+VLOOKUP($H76,PARÂMETROS!$E:$F,2,FALSE))*$P76),"",AS76)))</f>
        <v/>
      </c>
      <c r="Y76" s="237" t="str">
        <f>IF(AY76 = "", "", IF(OR($H76 = PARÂMETROS!$E$5, $H76 = ""), AY76, IF(OR(AY76 &lt; (1-VLOOKUP($H76,PARÂMETROS!$E:$F,2,FALSE))*$P76, AY76 &gt; (1+VLOOKUP($H76,PARÂMETROS!$E:$F,2,FALSE))*$P76),"",AY76)))</f>
        <v/>
      </c>
      <c r="Z76" s="237" t="str">
        <f>IF(BE76 = "", "", IF(OR($H76 = PARÂMETROS!$E$5, $H76 = ""), BE76, IF(OR(BE76 &lt; (1-VLOOKUP($H76,PARÂMETROS!$E:$F,2,FALSE))*$P76, BE76 &gt; (1+VLOOKUP($H76,PARÂMETROS!$E:$F,2,FALSE))*$P76),"",BE76)))</f>
        <v/>
      </c>
      <c r="AA76" s="207"/>
      <c r="AB76" s="208"/>
      <c r="AC76" s="206" t="str">
        <f>IF(AND(OR(AA76="",AA76=0),OR(AA76="",AB76=0)),"",IF(OR(AA76="",AA76=0),"DEFINIR PREÇO",IF(OR(AB76="",AB76=0),"DEFINIR FORNECEDOR",IF(OR(AA76&lt;&gt;"",AA76&lt;&gt;0),VLOOKUP(AB76,#REF!,2,FALSE)))))</f>
        <v/>
      </c>
      <c r="AD76" s="217"/>
      <c r="AE76" s="218"/>
      <c r="AF76" s="220" t="str">
        <f t="shared" ca="1" si="49"/>
        <v/>
      </c>
      <c r="AG76" s="229"/>
      <c r="AH76" s="231"/>
      <c r="AI76" s="206" t="str">
        <f>IF(AND(OR(AG76="",AG76=0),OR(AG76="",AH76=0)),"",IF(OR(AG76="",AG76=0),"DEFINIR PREÇO",IF(OR(AH76="",AH76=0),"DEFINIR FORNECEDOR",IF(OR(AG76&lt;&gt;"",AG76&lt;&gt;0),VLOOKUP(AH76,#REF!,2,FALSE)))))</f>
        <v/>
      </c>
      <c r="AJ76" s="217"/>
      <c r="AK76" s="218"/>
      <c r="AL76" s="220" t="str">
        <f t="shared" ca="1" si="50"/>
        <v/>
      </c>
      <c r="AM76" s="229"/>
      <c r="AN76" s="231"/>
      <c r="AO76" s="206" t="str">
        <f>IF(AND(OR(AM76="",AM76=0),OR(AM76="",AN76=0)),"",IF(OR(AM76="",AM76=0),"DEFINIR PREÇO",IF(OR(AN76="",AN76=0),"DEFINIR FORNECEDOR",IF(OR(AM76&lt;&gt;"",AM76&lt;&gt;0),VLOOKUP(AN76,#REF!,2,FALSE)))))</f>
        <v/>
      </c>
      <c r="AP76" s="217"/>
      <c r="AQ76" s="218"/>
      <c r="AR76" s="220" t="str">
        <f t="shared" ca="1" si="51"/>
        <v/>
      </c>
      <c r="AS76" s="229"/>
      <c r="AT76" s="231"/>
      <c r="AU76" s="191" t="str">
        <f>IF(AND(OR(AS76="",AS76=0),OR(AS76="",AT76=0)),"",IF(OR(AS76="",AS76=0),"DEFINIR PREÇO",IF(OR(AT76="",AT76=0),"DEFINIR FORNECEDOR",IF(OR(AS76&lt;&gt;"",AS76&lt;&gt;0),VLOOKUP(AT76,#REF!,2,FALSE)))))</f>
        <v/>
      </c>
      <c r="AV76" s="217"/>
      <c r="AW76" s="218"/>
      <c r="AX76" s="220" t="str">
        <f t="shared" ca="1" si="52"/>
        <v/>
      </c>
      <c r="AY76" s="229"/>
      <c r="AZ76" s="234"/>
      <c r="BA76" s="209" t="str">
        <f>IF(AND(OR(AY76="",AY76=0),OR(AY76="",AZ76=0)),"",IF(OR(AY76="",AY76=0),"DEFINIR PREÇO",IF(OR(AZ76="",AZ76=0),"DEFINIR FORNECEDOR",IF(OR(AY76&lt;&gt;"",AY76&lt;&gt;0),VLOOKUP(AZ76,#REF!,2,FALSE)))))</f>
        <v/>
      </c>
      <c r="BB76" s="217"/>
      <c r="BC76" s="218"/>
      <c r="BD76" s="220" t="str">
        <f t="shared" ca="1" si="53"/>
        <v/>
      </c>
      <c r="BE76" s="195"/>
      <c r="BF76" s="196"/>
      <c r="BG76" s="191"/>
      <c r="BH76" s="192"/>
      <c r="BI76" s="192"/>
      <c r="BJ76" s="193"/>
    </row>
    <row r="77" spans="1:62" ht="30" x14ac:dyDescent="0.25">
      <c r="A77" s="44" t="s">
        <v>405</v>
      </c>
      <c r="B77" s="45" t="s">
        <v>250</v>
      </c>
      <c r="C77" s="45">
        <v>4</v>
      </c>
      <c r="D77" s="55" t="s">
        <v>246</v>
      </c>
      <c r="E77" s="45" t="s">
        <v>23</v>
      </c>
      <c r="F77" s="46" t="str">
        <f t="shared" si="55"/>
        <v>DEFINIR CRITÉRIO</v>
      </c>
      <c r="G77" s="47" t="str">
        <f t="shared" si="54"/>
        <v>DEFINIR CRITÉRIO</v>
      </c>
      <c r="H77" s="240" t="s">
        <v>2000</v>
      </c>
      <c r="I77" s="240" t="s">
        <v>2001</v>
      </c>
      <c r="J77" s="242" t="str">
        <f>IFERROR(IF(N77&lt;&gt;"",M77,IF(I77 = PARÂMETROS!$B$5,Q77, IF(I77 = PARÂMETROS!$B$6,R77,IF(I77 = PARÂMETROS!$B$7,S77,IF(I77 = PARÂMETROS!$B$8, T77,"DEFINIR CRITÉRIO"))))),"SEM PREÇO")</f>
        <v>DEFINIR CRITÉRIO</v>
      </c>
      <c r="K77" s="241" t="str">
        <f t="shared" si="42"/>
        <v/>
      </c>
      <c r="L77" s="238" t="str">
        <f t="shared" si="43"/>
        <v/>
      </c>
      <c r="M77" s="51"/>
      <c r="N77" s="52"/>
      <c r="O77" s="53"/>
      <c r="P77" s="235">
        <f t="shared" si="44"/>
        <v>150.65666666666667</v>
      </c>
      <c r="Q77" s="236">
        <f t="shared" si="45"/>
        <v>0</v>
      </c>
      <c r="R77" s="236">
        <f t="shared" si="46"/>
        <v>0</v>
      </c>
      <c r="S77" s="236">
        <f t="shared" si="47"/>
        <v>0</v>
      </c>
      <c r="T77" s="236">
        <f t="shared" si="48"/>
        <v>0</v>
      </c>
      <c r="U77" s="237" t="e">
        <f>IF(AA77 = "", "", IF(OR($H77 = PARÂMETROS!$E$5, $H77 = ""), AA77, IF(OR(AA77 &lt; (1-VLOOKUP($H77,PARÂMETROS!$E:$F,2,FALSE))*$P77, AA77 &gt; (1+VLOOKUP($H77,PARÂMETROS!$E:$F,2,FALSE))*$P77),"",AA77)))</f>
        <v>#N/A</v>
      </c>
      <c r="V77" s="237" t="e">
        <f>IF(AG77 = "", "", IF(OR($H77 = PARÂMETROS!$E$5, $H77 = ""), AG77, IF(OR(AG77 &lt; (1-VLOOKUP($H77,PARÂMETROS!$E:$F,2,FALSE))*$P82, AG77 &gt; (1+VLOOKUP($H77,PARÂMETROS!$E:$F,2,FALSE))*$P77),"",AG77)))</f>
        <v>#N/A</v>
      </c>
      <c r="W77" s="237" t="e">
        <f>IF(AM77 = "", "", IF(OR($H77 = PARÂMETROS!$E$5, $H77 = ""), AM77, IF(OR(AM77 &lt; (1-VLOOKUP($H77,PARÂMETROS!$E:$F,2,FALSE))*$P77, AM77 &gt; (1+VLOOKUP($H77,PARÂMETROS!$E:$F,2,FALSE))*$P77),"",AM77)))</f>
        <v>#N/A</v>
      </c>
      <c r="X77" s="237" t="str">
        <f>IF(AS77 = "", "", IF(OR($H77 = PARÂMETROS!$E$5, $H77 = ""), AS77, IF(OR(AS77 &lt; (1-VLOOKUP($H77,PARÂMETROS!$E:$F,2,FALSE))*$P77, AS77 &gt; (1+VLOOKUP($H77,PARÂMETROS!$E:$F,2,FALSE))*$P77),"",AS77)))</f>
        <v/>
      </c>
      <c r="Y77" s="237" t="str">
        <f>IF(AY77 = "", "", IF(OR($H77 = PARÂMETROS!$E$5, $H77 = ""), AY77, IF(OR(AY77 &lt; (1-VLOOKUP($H77,PARÂMETROS!$E:$F,2,FALSE))*$P77, AY77 &gt; (1+VLOOKUP($H77,PARÂMETROS!$E:$F,2,FALSE))*$P77),"",AY77)))</f>
        <v/>
      </c>
      <c r="Z77" s="237" t="str">
        <f>IF(BE77 = "", "", IF(OR($H77 = PARÂMETROS!$E$5, $H77 = ""), BE77, IF(OR(BE77 &lt; (1-VLOOKUP($H77,PARÂMETROS!$E:$F,2,FALSE))*$P77, BE77 &gt; (1+VLOOKUP($H77,PARÂMETROS!$E:$F,2,FALSE))*$P77),"",BE77)))</f>
        <v/>
      </c>
      <c r="AA77" s="207">
        <v>158.07</v>
      </c>
      <c r="AB77" s="208">
        <v>653</v>
      </c>
      <c r="AC77" s="206" t="e">
        <f>IF(AND(OR(AA77="",AA77=0),OR(AA77="",AB77=0)),"",IF(OR(AA77="",AA77=0),"DEFINIR PREÇO",IF(OR(AB77="",AB77=0),"DEFINIR FORNECEDOR",IF(OR(AA77&lt;&gt;"",AA77&lt;&gt;0),VLOOKUP(AB77,#REF!,2,FALSE)))))</f>
        <v>#REF!</v>
      </c>
      <c r="AD77" s="217" t="s">
        <v>1977</v>
      </c>
      <c r="AE77" s="218">
        <v>44931</v>
      </c>
      <c r="AF77" s="220" t="str">
        <f t="shared" ca="1" si="49"/>
        <v>DESATUALIZADA</v>
      </c>
      <c r="AG77" s="229">
        <v>134.9</v>
      </c>
      <c r="AH77" s="231">
        <v>732</v>
      </c>
      <c r="AI77" s="206" t="e">
        <f>IF(AND(OR(AG77="",AG77=0),OR(AG77="",AH77=0)),"",IF(OR(AG77="",AG77=0),"DEFINIR PREÇO",IF(OR(AH77="",AH77=0),"DEFINIR FORNECEDOR",IF(OR(AG77&lt;&gt;"",AG77&lt;&gt;0),VLOOKUP(AH77,#REF!,2,FALSE)))))</f>
        <v>#REF!</v>
      </c>
      <c r="AJ77" s="217" t="s">
        <v>1977</v>
      </c>
      <c r="AK77" s="218">
        <v>44931</v>
      </c>
      <c r="AL77" s="220" t="str">
        <f t="shared" ca="1" si="50"/>
        <v>DESATUALIZADA</v>
      </c>
      <c r="AM77" s="229">
        <v>159</v>
      </c>
      <c r="AN77" s="231">
        <v>264</v>
      </c>
      <c r="AO77" s="206" t="e">
        <f>IF(AND(OR(AM77="",AM77=0),OR(AM77="",AN77=0)),"",IF(OR(AM77="",AM77=0),"DEFINIR PREÇO",IF(OR(AN77="",AN77=0),"DEFINIR FORNECEDOR",IF(OR(AM77&lt;&gt;"",AM77&lt;&gt;0),VLOOKUP(AN77,#REF!,2,FALSE)))))</f>
        <v>#REF!</v>
      </c>
      <c r="AP77" s="217" t="s">
        <v>1977</v>
      </c>
      <c r="AQ77" s="218">
        <v>44931</v>
      </c>
      <c r="AR77" s="220" t="str">
        <f t="shared" ca="1" si="51"/>
        <v>DESATUALIZADA</v>
      </c>
      <c r="AS77" s="229"/>
      <c r="AT77" s="231"/>
      <c r="AU77" s="191" t="str">
        <f>IF(AND(OR(AS77="",AS77=0),OR(AS77="",AT77=0)),"",IF(OR(AS77="",AS77=0),"DEFINIR PREÇO",IF(OR(AT77="",AT77=0),"DEFINIR FORNECEDOR",IF(OR(AS77&lt;&gt;"",AS77&lt;&gt;0),VLOOKUP(AT77,#REF!,2,FALSE)))))</f>
        <v/>
      </c>
      <c r="AV77" s="217"/>
      <c r="AW77" s="218"/>
      <c r="AX77" s="220" t="str">
        <f t="shared" ca="1" si="52"/>
        <v/>
      </c>
      <c r="AY77" s="229"/>
      <c r="AZ77" s="234"/>
      <c r="BA77" s="209" t="str">
        <f>IF(AND(OR(AY77="",AY77=0),OR(AY77="",AZ77=0)),"",IF(OR(AY77="",AY77=0),"DEFINIR PREÇO",IF(OR(AZ77="",AZ77=0),"DEFINIR FORNECEDOR",IF(OR(AY77&lt;&gt;"",AY77&lt;&gt;0),VLOOKUP(AZ77,#REF!,2,FALSE)))))</f>
        <v/>
      </c>
      <c r="BB77" s="217"/>
      <c r="BC77" s="218"/>
      <c r="BD77" s="220" t="str">
        <f t="shared" ca="1" si="53"/>
        <v/>
      </c>
      <c r="BE77" s="195"/>
      <c r="BF77" s="196"/>
      <c r="BG77" s="191"/>
      <c r="BH77" s="192"/>
      <c r="BI77" s="192"/>
      <c r="BJ77" s="193"/>
    </row>
    <row r="78" spans="1:62" x14ac:dyDescent="0.25">
      <c r="A78" s="44" t="s">
        <v>405</v>
      </c>
      <c r="B78" s="58" t="s">
        <v>155</v>
      </c>
      <c r="C78" s="45">
        <v>4</v>
      </c>
      <c r="D78" s="55" t="s">
        <v>154</v>
      </c>
      <c r="E78" s="45" t="s">
        <v>23</v>
      </c>
      <c r="F78" s="46" t="e">
        <f>J78*900/400</f>
        <v>#VALUE!</v>
      </c>
      <c r="G78" s="47" t="e">
        <f>J78*900/400</f>
        <v>#VALUE!</v>
      </c>
      <c r="H78" s="240" t="s">
        <v>2000</v>
      </c>
      <c r="I78" s="240" t="s">
        <v>2001</v>
      </c>
      <c r="J78" s="242" t="str">
        <f>IFERROR(IF(N78&lt;&gt;"",M78,IF(I78 = PARÂMETROS!$B$5,Q78, IF(I78 = PARÂMETROS!$B$6,R78,IF(I78 = PARÂMETROS!$B$7,S78,IF(I78 = PARÂMETROS!$B$8, T78,"DEFINIR CRITÉRIO"))))),"SEM PREÇO")</f>
        <v>SEM PREÇO</v>
      </c>
      <c r="K78" s="241">
        <f t="shared" si="42"/>
        <v>0</v>
      </c>
      <c r="L78" s="238" t="str">
        <f t="shared" si="43"/>
        <v/>
      </c>
      <c r="M78" s="51" t="e">
        <f>VLOOKUP(N78,#REF!,4,FALSE)</f>
        <v>#REF!</v>
      </c>
      <c r="N78" s="52">
        <v>20078</v>
      </c>
      <c r="O78" s="53" t="s">
        <v>404</v>
      </c>
      <c r="P78" s="235">
        <f t="shared" si="44"/>
        <v>0</v>
      </c>
      <c r="Q78" s="236">
        <f t="shared" si="45"/>
        <v>0</v>
      </c>
      <c r="R78" s="236">
        <f t="shared" si="46"/>
        <v>0</v>
      </c>
      <c r="S78" s="236">
        <f t="shared" si="47"/>
        <v>0</v>
      </c>
      <c r="T78" s="236">
        <f t="shared" si="48"/>
        <v>0</v>
      </c>
      <c r="U78" s="237" t="str">
        <f>IF(AA78 = "", "", IF(OR($H78 = PARÂMETROS!$E$5, $H78 = ""), AA78, IF(OR(AA78 &lt; (1-VLOOKUP($H78,PARÂMETROS!$E:$F,2,FALSE))*$P78, AA78 &gt; (1+VLOOKUP($H78,PARÂMETROS!$E:$F,2,FALSE))*$P78),"",AA78)))</f>
        <v/>
      </c>
      <c r="V78" s="237" t="str">
        <f>IF(AG78 = "", "", IF(OR($H78 = PARÂMETROS!$E$5, $H78 = ""), AG78, IF(OR(AG78 &lt; (1-VLOOKUP($H78,PARÂMETROS!$E:$F,2,FALSE))*$P83, AG78 &gt; (1+VLOOKUP($H78,PARÂMETROS!$E:$F,2,FALSE))*$P78),"",AG78)))</f>
        <v/>
      </c>
      <c r="W78" s="237" t="str">
        <f>IF(AM78 = "", "", IF(OR($H78 = PARÂMETROS!$E$5, $H78 = ""), AM78, IF(OR(AM78 &lt; (1-VLOOKUP($H78,PARÂMETROS!$E:$F,2,FALSE))*$P78, AM78 &gt; (1+VLOOKUP($H78,PARÂMETROS!$E:$F,2,FALSE))*$P78),"",AM78)))</f>
        <v/>
      </c>
      <c r="X78" s="237" t="str">
        <f>IF(AS78 = "", "", IF(OR($H78 = PARÂMETROS!$E$5, $H78 = ""), AS78, IF(OR(AS78 &lt; (1-VLOOKUP($H78,PARÂMETROS!$E:$F,2,FALSE))*$P78, AS78 &gt; (1+VLOOKUP($H78,PARÂMETROS!$E:$F,2,FALSE))*$P78),"",AS78)))</f>
        <v/>
      </c>
      <c r="Y78" s="237" t="str">
        <f>IF(AY78 = "", "", IF(OR($H78 = PARÂMETROS!$E$5, $H78 = ""), AY78, IF(OR(AY78 &lt; (1-VLOOKUP($H78,PARÂMETROS!$E:$F,2,FALSE))*$P78, AY78 &gt; (1+VLOOKUP($H78,PARÂMETROS!$E:$F,2,FALSE))*$P78),"",AY78)))</f>
        <v/>
      </c>
      <c r="Z78" s="237" t="str">
        <f>IF(BE78 = "", "", IF(OR($H78 = PARÂMETROS!$E$5, $H78 = ""), BE78, IF(OR(BE78 &lt; (1-VLOOKUP($H78,PARÂMETROS!$E:$F,2,FALSE))*$P78, BE78 &gt; (1+VLOOKUP($H78,PARÂMETROS!$E:$F,2,FALSE))*$P78),"",BE78)))</f>
        <v/>
      </c>
      <c r="AA78" s="207"/>
      <c r="AB78" s="208"/>
      <c r="AC78" s="206"/>
      <c r="AD78" s="217"/>
      <c r="AE78" s="218"/>
      <c r="AF78" s="220" t="str">
        <f t="shared" ca="1" si="49"/>
        <v/>
      </c>
      <c r="AG78" s="229"/>
      <c r="AH78" s="231"/>
      <c r="AI78" s="206"/>
      <c r="AJ78" s="217"/>
      <c r="AK78" s="218"/>
      <c r="AL78" s="220" t="str">
        <f t="shared" ca="1" si="50"/>
        <v/>
      </c>
      <c r="AM78" s="229"/>
      <c r="AN78" s="231"/>
      <c r="AO78" s="206"/>
      <c r="AP78" s="217"/>
      <c r="AQ78" s="218"/>
      <c r="AR78" s="220" t="str">
        <f t="shared" ca="1" si="51"/>
        <v/>
      </c>
      <c r="AS78" s="229"/>
      <c r="AT78" s="231"/>
      <c r="AU78" s="191" t="str">
        <f>IF(AND(OR(AS78="",AS78=0),OR(AS78="",AT78=0)),"",IF(OR(AS78="",AS78=0),"DEFINIR PREÇO",IF(OR(AT78="",AT78=0),"DEFINIR FORNECEDOR",IF(OR(AS78&lt;&gt;"",AS78&lt;&gt;0),VLOOKUP(AT78,#REF!,2,FALSE)))))</f>
        <v/>
      </c>
      <c r="AV78" s="217"/>
      <c r="AW78" s="218"/>
      <c r="AX78" s="220" t="str">
        <f t="shared" ca="1" si="52"/>
        <v/>
      </c>
      <c r="AY78" s="229"/>
      <c r="AZ78" s="234"/>
      <c r="BA78" s="209" t="str">
        <f>IF(AND(OR(AY78="",AY78=0),OR(AY78="",AZ78=0)),"",IF(OR(AY78="",AY78=0),"DEFINIR PREÇO",IF(OR(AZ78="",AZ78=0),"DEFINIR FORNECEDOR",IF(OR(AY78&lt;&gt;"",AY78&lt;&gt;0),VLOOKUP(AZ78,#REF!,2,FALSE)))))</f>
        <v/>
      </c>
      <c r="BB78" s="217"/>
      <c r="BC78" s="218"/>
      <c r="BD78" s="220" t="str">
        <f t="shared" ca="1" si="53"/>
        <v/>
      </c>
      <c r="BE78" s="198"/>
      <c r="BF78" s="196"/>
      <c r="BG78" s="194"/>
      <c r="BH78" s="194"/>
      <c r="BI78" s="194"/>
      <c r="BJ78" s="197"/>
    </row>
    <row r="79" spans="1:62" ht="30" x14ac:dyDescent="0.25">
      <c r="A79" s="44" t="s">
        <v>405</v>
      </c>
      <c r="B79" s="45" t="s">
        <v>480</v>
      </c>
      <c r="C79" s="45">
        <v>4</v>
      </c>
      <c r="D79" s="55" t="s">
        <v>244</v>
      </c>
      <c r="E79" s="45" t="s">
        <v>23</v>
      </c>
      <c r="F79" s="46" t="str">
        <f t="shared" ref="F79" si="56">J79</f>
        <v>DEFINIR CRITÉRIO</v>
      </c>
      <c r="G79" s="47" t="str">
        <f t="shared" ref="G79" si="57">J79</f>
        <v>DEFINIR CRITÉRIO</v>
      </c>
      <c r="H79" s="240" t="s">
        <v>2000</v>
      </c>
      <c r="I79" s="240" t="s">
        <v>2001</v>
      </c>
      <c r="J79" s="242" t="str">
        <f>IFERROR(IF(N79&lt;&gt;"",M79,IF(I79 = PARÂMETROS!$B$5,Q79, IF(I79 = PARÂMETROS!$B$6,R79,IF(I79 = PARÂMETROS!$B$7,S79,IF(I79 = PARÂMETROS!$B$8, T79,"DEFINIR CRITÉRIO"))))),"SEM PREÇO")</f>
        <v>DEFINIR CRITÉRIO</v>
      </c>
      <c r="K79" s="241" t="str">
        <f t="shared" si="42"/>
        <v/>
      </c>
      <c r="L79" s="238" t="str">
        <f t="shared" si="43"/>
        <v/>
      </c>
      <c r="M79" s="51"/>
      <c r="N79" s="52"/>
      <c r="O79" s="53"/>
      <c r="P79" s="235">
        <f t="shared" si="44"/>
        <v>60.633333333333333</v>
      </c>
      <c r="Q79" s="236">
        <f t="shared" si="45"/>
        <v>0</v>
      </c>
      <c r="R79" s="236">
        <f t="shared" si="46"/>
        <v>0</v>
      </c>
      <c r="S79" s="236">
        <f t="shared" si="47"/>
        <v>0</v>
      </c>
      <c r="T79" s="236">
        <f t="shared" si="48"/>
        <v>0</v>
      </c>
      <c r="U79" s="237" t="e">
        <f>IF(AA79 = "", "", IF(OR($H79 = PARÂMETROS!$E$5, $H79 = ""), AA79, IF(OR(AA79 &lt; (1-VLOOKUP($H79,PARÂMETROS!$E:$F,2,FALSE))*$P79, AA79 &gt; (1+VLOOKUP($H79,PARÂMETROS!$E:$F,2,FALSE))*$P79),"",AA79)))</f>
        <v>#N/A</v>
      </c>
      <c r="V79" s="237" t="e">
        <f>IF(AG79 = "", "", IF(OR($H79 = PARÂMETROS!$E$5, $H79 = ""), AG79, IF(OR(AG79 &lt; (1-VLOOKUP($H79,PARÂMETROS!$E:$F,2,FALSE))*$P84, AG79 &gt; (1+VLOOKUP($H79,PARÂMETROS!$E:$F,2,FALSE))*$P79),"",AG79)))</f>
        <v>#N/A</v>
      </c>
      <c r="W79" s="237" t="e">
        <f>IF(AM79 = "", "", IF(OR($H79 = PARÂMETROS!$E$5, $H79 = ""), AM79, IF(OR(AM79 &lt; (1-VLOOKUP($H79,PARÂMETROS!$E:$F,2,FALSE))*$P79, AM79 &gt; (1+VLOOKUP($H79,PARÂMETROS!$E:$F,2,FALSE))*$P79),"",AM79)))</f>
        <v>#N/A</v>
      </c>
      <c r="X79" s="237" t="str">
        <f>IF(AS79 = "", "", IF(OR($H79 = PARÂMETROS!$E$5, $H79 = ""), AS79, IF(OR(AS79 &lt; (1-VLOOKUP($H79,PARÂMETROS!$E:$F,2,FALSE))*$P79, AS79 &gt; (1+VLOOKUP($H79,PARÂMETROS!$E:$F,2,FALSE))*$P79),"",AS79)))</f>
        <v/>
      </c>
      <c r="Y79" s="237" t="str">
        <f>IF(AY79 = "", "", IF(OR($H79 = PARÂMETROS!$E$5, $H79 = ""), AY79, IF(OR(AY79 &lt; (1-VLOOKUP($H79,PARÂMETROS!$E:$F,2,FALSE))*$P79, AY79 &gt; (1+VLOOKUP($H79,PARÂMETROS!$E:$F,2,FALSE))*$P79),"",AY79)))</f>
        <v/>
      </c>
      <c r="Z79" s="237" t="str">
        <f>IF(BE79 = "", "", IF(OR($H79 = PARÂMETROS!$E$5, $H79 = ""), BE79, IF(OR(BE79 &lt; (1-VLOOKUP($H79,PARÂMETROS!$E:$F,2,FALSE))*$P79, BE79 &gt; (1+VLOOKUP($H79,PARÂMETROS!$E:$F,2,FALSE))*$P79),"",BE79)))</f>
        <v/>
      </c>
      <c r="AA79" s="207">
        <v>68.099999999999994</v>
      </c>
      <c r="AB79" s="208">
        <v>653</v>
      </c>
      <c r="AC79" s="206" t="e">
        <f>IF(AND(OR(AA79="",AA79=0),OR(AA79="",AB79=0)),"",IF(OR(AA79="",AA79=0),"DEFINIR PREÇO",IF(OR(AB79="",AB79=0),"DEFINIR FORNECEDOR",IF(OR(AA79&lt;&gt;"",AA79&lt;&gt;0),VLOOKUP(AB79,#REF!,2,FALSE)))))</f>
        <v>#REF!</v>
      </c>
      <c r="AD79" s="217" t="s">
        <v>1977</v>
      </c>
      <c r="AE79" s="218">
        <v>44930</v>
      </c>
      <c r="AF79" s="220" t="str">
        <f t="shared" ca="1" si="49"/>
        <v>DESATUALIZADA</v>
      </c>
      <c r="AG79" s="229">
        <v>63.9</v>
      </c>
      <c r="AH79" s="231">
        <v>264</v>
      </c>
      <c r="AI79" s="206" t="e">
        <f>IF(AND(OR(AG79="",AG79=0),OR(AG79="",AH79=0)),"",IF(OR(AG79="",AG79=0),"DEFINIR PREÇO",IF(OR(AH79="",AH79=0),"DEFINIR FORNECEDOR",IF(OR(AG79&lt;&gt;"",AG79&lt;&gt;0),VLOOKUP(AH79,#REF!,2,FALSE)))))</f>
        <v>#REF!</v>
      </c>
      <c r="AJ79" s="217" t="s">
        <v>1977</v>
      </c>
      <c r="AK79" s="218">
        <v>44930</v>
      </c>
      <c r="AL79" s="220" t="str">
        <f t="shared" ca="1" si="50"/>
        <v>DESATUALIZADA</v>
      </c>
      <c r="AM79" s="229">
        <v>49.9</v>
      </c>
      <c r="AN79" s="231">
        <v>2192</v>
      </c>
      <c r="AO79" s="206" t="e">
        <f>IF(AND(OR(AM79="",AM79=0),OR(AM79="",AN79=0)),"",IF(OR(AM79="",AM79=0),"DEFINIR PREÇO",IF(OR(AN79="",AN79=0),"DEFINIR FORNECEDOR",IF(OR(AM79&lt;&gt;"",AM79&lt;&gt;0),VLOOKUP(AN79,#REF!,2,FALSE)))))</f>
        <v>#REF!</v>
      </c>
      <c r="AP79" s="217" t="s">
        <v>1977</v>
      </c>
      <c r="AQ79" s="218">
        <v>44931</v>
      </c>
      <c r="AR79" s="220" t="str">
        <f t="shared" ca="1" si="51"/>
        <v>DESATUALIZADA</v>
      </c>
      <c r="AS79" s="229"/>
      <c r="AT79" s="231"/>
      <c r="AU79" s="191" t="str">
        <f>IF(AND(OR(AS79="",AS79=0),OR(AS79="",AT79=0)),"",IF(OR(AS79="",AS79=0),"DEFINIR PREÇO",IF(OR(AT79="",AT79=0),"DEFINIR FORNECEDOR",IF(OR(AS79&lt;&gt;"",AS79&lt;&gt;0),VLOOKUP(AT79,#REF!,2,FALSE)))))</f>
        <v/>
      </c>
      <c r="AV79" s="217"/>
      <c r="AW79" s="218"/>
      <c r="AX79" s="220" t="str">
        <f t="shared" ca="1" si="52"/>
        <v/>
      </c>
      <c r="AY79" s="229"/>
      <c r="AZ79" s="234"/>
      <c r="BA79" s="209" t="str">
        <f>IF(AND(OR(AY79="",AY79=0),OR(AY79="",AZ79=0)),"",IF(OR(AY79="",AY79=0),"DEFINIR PREÇO",IF(OR(AZ79="",AZ79=0),"DEFINIR FORNECEDOR",IF(OR(AY79&lt;&gt;"",AY79&lt;&gt;0),VLOOKUP(AZ79,#REF!,2,FALSE)))))</f>
        <v/>
      </c>
      <c r="BB79" s="217"/>
      <c r="BC79" s="218"/>
      <c r="BD79" s="220" t="str">
        <f t="shared" ca="1" si="53"/>
        <v/>
      </c>
      <c r="BE79" s="195"/>
      <c r="BF79" s="196"/>
      <c r="BG79" s="194"/>
      <c r="BH79" s="192"/>
      <c r="BI79" s="192"/>
      <c r="BJ79" s="193"/>
    </row>
    <row r="80" spans="1:62" ht="30" x14ac:dyDescent="0.25">
      <c r="A80" s="44" t="s">
        <v>405</v>
      </c>
      <c r="B80" s="58" t="s">
        <v>59</v>
      </c>
      <c r="C80" s="45">
        <v>4</v>
      </c>
      <c r="D80" s="55" t="s">
        <v>58</v>
      </c>
      <c r="E80" s="45" t="s">
        <v>31</v>
      </c>
      <c r="F80" s="46" t="str">
        <f>J80</f>
        <v>DEFINIR CRITÉRIO</v>
      </c>
      <c r="G80" s="47" t="str">
        <f>J80</f>
        <v>DEFINIR CRITÉRIO</v>
      </c>
      <c r="H80" s="240" t="s">
        <v>2000</v>
      </c>
      <c r="I80" s="240" t="s">
        <v>2001</v>
      </c>
      <c r="J80" s="242" t="str">
        <f>IFERROR(IF(N80&lt;&gt;"",M80,IF(I80 = PARÂMETROS!$B$5,Q80, IF(I80 = PARÂMETROS!$B$6,R80,IF(I80 = PARÂMETROS!$B$7,S80,IF(I80 = PARÂMETROS!$B$8, T80,"DEFINIR CRITÉRIO"))))),"SEM PREÇO")</f>
        <v>DEFINIR CRITÉRIO</v>
      </c>
      <c r="K80" s="241" t="str">
        <f t="shared" si="42"/>
        <v/>
      </c>
      <c r="L80" s="238" t="str">
        <f t="shared" si="43"/>
        <v/>
      </c>
      <c r="M80" s="51"/>
      <c r="N80" s="52"/>
      <c r="O80" s="53"/>
      <c r="P80" s="235">
        <f t="shared" si="44"/>
        <v>11.49</v>
      </c>
      <c r="Q80" s="236">
        <f t="shared" si="45"/>
        <v>0</v>
      </c>
      <c r="R80" s="236">
        <f t="shared" si="46"/>
        <v>0</v>
      </c>
      <c r="S80" s="236">
        <f t="shared" si="47"/>
        <v>0</v>
      </c>
      <c r="T80" s="236">
        <f t="shared" si="48"/>
        <v>0</v>
      </c>
      <c r="U80" s="237" t="e">
        <f>IF(AA80 = "", "", IF(OR($H80 = PARÂMETROS!$E$5, $H80 = ""), AA80, IF(OR(AA80 &lt; (1-VLOOKUP($H80,PARÂMETROS!$E:$F,2,FALSE))*$P80, AA80 &gt; (1+VLOOKUP($H80,PARÂMETROS!$E:$F,2,FALSE))*$P80),"",AA80)))</f>
        <v>#N/A</v>
      </c>
      <c r="V80" s="237" t="e">
        <f>IF(AG80 = "", "", IF(OR($H80 = PARÂMETROS!$E$5, $H80 = ""), AG80, IF(OR(AG80 &lt; (1-VLOOKUP($H80,PARÂMETROS!$E:$F,2,FALSE))*$P85, AG80 &gt; (1+VLOOKUP($H80,PARÂMETROS!$E:$F,2,FALSE))*$P80),"",AG80)))</f>
        <v>#N/A</v>
      </c>
      <c r="W80" s="237" t="str">
        <f>IF(AM80 = "", "", IF(OR($H80 = PARÂMETROS!$E$5, $H80 = ""), AM80, IF(OR(AM80 &lt; (1-VLOOKUP($H80,PARÂMETROS!$E:$F,2,FALSE))*$P80, AM80 &gt; (1+VLOOKUP($H80,PARÂMETROS!$E:$F,2,FALSE))*$P80),"",AM80)))</f>
        <v/>
      </c>
      <c r="X80" s="237" t="str">
        <f>IF(AS80 = "", "", IF(OR($H80 = PARÂMETROS!$E$5, $H80 = ""), AS80, IF(OR(AS80 &lt; (1-VLOOKUP($H80,PARÂMETROS!$E:$F,2,FALSE))*$P80, AS80 &gt; (1+VLOOKUP($H80,PARÂMETROS!$E:$F,2,FALSE))*$P80),"",AS80)))</f>
        <v/>
      </c>
      <c r="Y80" s="237" t="str">
        <f>IF(AY80 = "", "", IF(OR($H80 = PARÂMETROS!$E$5, $H80 = ""), AY80, IF(OR(AY80 &lt; (1-VLOOKUP($H80,PARÂMETROS!$E:$F,2,FALSE))*$P80, AY80 &gt; (1+VLOOKUP($H80,PARÂMETROS!$E:$F,2,FALSE))*$P80),"",AY80)))</f>
        <v/>
      </c>
      <c r="Z80" s="237" t="str">
        <f>IF(BE80 = "", "", IF(OR($H80 = PARÂMETROS!$E$5, $H80 = ""), BE80, IF(OR(BE80 &lt; (1-VLOOKUP($H80,PARÂMETROS!$E:$F,2,FALSE))*$P80, BE80 &gt; (1+VLOOKUP($H80,PARÂMETROS!$E:$F,2,FALSE))*$P80),"",BE80)))</f>
        <v/>
      </c>
      <c r="AA80" s="207">
        <v>11.64</v>
      </c>
      <c r="AB80" s="208">
        <v>2224</v>
      </c>
      <c r="AC80" s="206" t="e">
        <f>IF(AND(OR(AA80="",AA80=0),OR(AA80="",AB80=0)),"",IF(OR(AA80="",AA80=0),"DEFINIR PREÇO",IF(OR(AB80="",AB80=0),"DEFINIR FORNECEDOR",IF(OR(AA80&lt;&gt;"",AA80&lt;&gt;0),VLOOKUP(AB80,#REF!,2,FALSE)))))</f>
        <v>#REF!</v>
      </c>
      <c r="AD80" s="217" t="s">
        <v>1981</v>
      </c>
      <c r="AE80" s="218">
        <v>44946</v>
      </c>
      <c r="AF80" s="220" t="str">
        <f t="shared" ca="1" si="49"/>
        <v>DESATUALIZADA</v>
      </c>
      <c r="AG80" s="229">
        <v>11.34</v>
      </c>
      <c r="AH80" s="231">
        <v>1614</v>
      </c>
      <c r="AI80" s="206" t="e">
        <f>IF(AND(OR(AG80="",AG80=0),OR(AG80="",AH80=0)),"",IF(OR(AG80="",AG80=0),"DEFINIR PREÇO",IF(OR(AH80="",AH80=0),"DEFINIR FORNECEDOR",IF(OR(AG80&lt;&gt;"",AG80&lt;&gt;0),VLOOKUP(AH80,#REF!,2,FALSE)))))</f>
        <v>#REF!</v>
      </c>
      <c r="AJ80" s="217" t="s">
        <v>1981</v>
      </c>
      <c r="AK80" s="218">
        <v>44949</v>
      </c>
      <c r="AL80" s="220" t="str">
        <f t="shared" ca="1" si="50"/>
        <v>DESATUALIZADA</v>
      </c>
      <c r="AM80" s="229"/>
      <c r="AN80" s="231"/>
      <c r="AO80" s="206" t="str">
        <f>IF(AND(OR(AM80="",AM80=0),OR(AM80="",AN80=0)),"",IF(OR(AM80="",AM80=0),"DEFINIR PREÇO",IF(OR(AN80="",AN80=0),"DEFINIR FORNECEDOR",IF(OR(AM80&lt;&gt;"",AM80&lt;&gt;0),VLOOKUP(AN80,#REF!,2,FALSE)))))</f>
        <v/>
      </c>
      <c r="AP80" s="217"/>
      <c r="AQ80" s="218"/>
      <c r="AR80" s="220" t="str">
        <f t="shared" ca="1" si="51"/>
        <v/>
      </c>
      <c r="AS80" s="229"/>
      <c r="AT80" s="231"/>
      <c r="AU80" s="194"/>
      <c r="AV80" s="217"/>
      <c r="AW80" s="218"/>
      <c r="AX80" s="220" t="str">
        <f t="shared" ca="1" si="52"/>
        <v/>
      </c>
      <c r="AY80" s="229"/>
      <c r="AZ80" s="234"/>
      <c r="BA80" s="209" t="str">
        <f>IF(AND(OR(AY80="",AY80=0),OR(AY80="",AZ80=0)),"",IF(OR(AY80="",AY80=0),"DEFINIR PREÇO",IF(OR(AZ80="",AZ80=0),"DEFINIR FORNECEDOR",IF(OR(AY80&lt;&gt;"",AY80&lt;&gt;0),VLOOKUP(AZ80,#REF!,2,FALSE)))))</f>
        <v/>
      </c>
      <c r="BB80" s="217"/>
      <c r="BC80" s="218"/>
      <c r="BD80" s="220" t="str">
        <f t="shared" ca="1" si="53"/>
        <v/>
      </c>
      <c r="BE80" s="195"/>
      <c r="BF80" s="196"/>
      <c r="BG80" s="194"/>
      <c r="BH80" s="194"/>
      <c r="BI80" s="194"/>
      <c r="BJ80" s="197"/>
    </row>
    <row r="81" spans="1:62" x14ac:dyDescent="0.25">
      <c r="A81" s="44" t="s">
        <v>405</v>
      </c>
      <c r="B81" s="45" t="s">
        <v>61</v>
      </c>
      <c r="C81" s="45">
        <v>4</v>
      </c>
      <c r="D81" s="55" t="s">
        <v>60</v>
      </c>
      <c r="E81" s="45" t="s">
        <v>23</v>
      </c>
      <c r="F81" s="46">
        <f t="shared" ref="F81:F84" si="58">J81</f>
        <v>0</v>
      </c>
      <c r="G81" s="47">
        <f t="shared" ref="G81:G84" si="59">J81</f>
        <v>0</v>
      </c>
      <c r="H81" s="240" t="s">
        <v>2000</v>
      </c>
      <c r="I81" s="240" t="s">
        <v>2001</v>
      </c>
      <c r="J81" s="242">
        <f>SUM(J82:J83)</f>
        <v>0</v>
      </c>
      <c r="K81" s="241">
        <f t="shared" si="42"/>
        <v>0</v>
      </c>
      <c r="L81" s="238" t="str">
        <f t="shared" si="43"/>
        <v/>
      </c>
      <c r="M81" s="51"/>
      <c r="N81" s="52"/>
      <c r="O81" s="53"/>
      <c r="P81" s="235">
        <f t="shared" si="44"/>
        <v>0</v>
      </c>
      <c r="Q81" s="236">
        <f t="shared" si="45"/>
        <v>0</v>
      </c>
      <c r="R81" s="236">
        <f t="shared" si="46"/>
        <v>0</v>
      </c>
      <c r="S81" s="236">
        <f t="shared" si="47"/>
        <v>0</v>
      </c>
      <c r="T81" s="236">
        <f t="shared" si="48"/>
        <v>0</v>
      </c>
      <c r="U81" s="237" t="str">
        <f>IF(AA81 = "", "", IF(OR($H81 = PARÂMETROS!$E$5, $H81 = ""), AA81, IF(OR(AA81 &lt; (1-VLOOKUP($H81,PARÂMETROS!$E:$F,2,FALSE))*$P81, AA81 &gt; (1+VLOOKUP($H81,PARÂMETROS!$E:$F,2,FALSE))*$P81),"",AA81)))</f>
        <v/>
      </c>
      <c r="V81" s="237" t="str">
        <f>IF(AG81 = "", "", IF(OR($H81 = PARÂMETROS!$E$5, $H81 = ""), AG81, IF(OR(AG81 &lt; (1-VLOOKUP($H81,PARÂMETROS!$E:$F,2,FALSE))*$P86, AG81 &gt; (1+VLOOKUP($H81,PARÂMETROS!$E:$F,2,FALSE))*$P81),"",AG81)))</f>
        <v/>
      </c>
      <c r="W81" s="237" t="str">
        <f>IF(AM81 = "", "", IF(OR($H81 = PARÂMETROS!$E$5, $H81 = ""), AM81, IF(OR(AM81 &lt; (1-VLOOKUP($H81,PARÂMETROS!$E:$F,2,FALSE))*$P81, AM81 &gt; (1+VLOOKUP($H81,PARÂMETROS!$E:$F,2,FALSE))*$P81),"",AM81)))</f>
        <v/>
      </c>
      <c r="X81" s="237" t="str">
        <f>IF(AS81 = "", "", IF(OR($H81 = PARÂMETROS!$E$5, $H81 = ""), AS81, IF(OR(AS81 &lt; (1-VLOOKUP($H81,PARÂMETROS!$E:$F,2,FALSE))*$P81, AS81 &gt; (1+VLOOKUP($H81,PARÂMETROS!$E:$F,2,FALSE))*$P81),"",AS81)))</f>
        <v/>
      </c>
      <c r="Y81" s="237" t="str">
        <f>IF(AY81 = "", "", IF(OR($H81 = PARÂMETROS!$E$5, $H81 = ""), AY81, IF(OR(AY81 &lt; (1-VLOOKUP($H81,PARÂMETROS!$E:$F,2,FALSE))*$P81, AY81 &gt; (1+VLOOKUP($H81,PARÂMETROS!$E:$F,2,FALSE))*$P81),"",AY81)))</f>
        <v/>
      </c>
      <c r="Z81" s="237" t="str">
        <f>IF(BE81 = "", "", IF(OR($H81 = PARÂMETROS!$E$5, $H81 = ""), BE81, IF(OR(BE81 &lt; (1-VLOOKUP($H81,PARÂMETROS!$E:$F,2,FALSE))*$P81, BE81 &gt; (1+VLOOKUP($H81,PARÂMETROS!$E:$F,2,FALSE))*$P81),"",BE81)))</f>
        <v/>
      </c>
      <c r="AA81" s="207"/>
      <c r="AB81" s="208"/>
      <c r="AC81" s="206" t="str">
        <f>IF(AND(OR(AA81="",AA81=0),OR(AA81="",AB81=0)),"",IF(OR(AA81="",AA81=0),"DEFINIR PREÇO",IF(OR(AB81="",AB81=0),"DEFINIR FORNECEDOR",IF(OR(AA81&lt;&gt;"",AA81&lt;&gt;0),VLOOKUP(AB81,#REF!,2,FALSE)))))</f>
        <v/>
      </c>
      <c r="AD81" s="217"/>
      <c r="AE81" s="218"/>
      <c r="AF81" s="220" t="str">
        <f t="shared" ca="1" si="49"/>
        <v/>
      </c>
      <c r="AG81" s="229"/>
      <c r="AH81" s="231"/>
      <c r="AI81" s="206" t="str">
        <f>IF(AND(OR(AG81="",AG81=0),OR(AG81="",AH81=0)),"",IF(OR(AG81="",AG81=0),"DEFINIR PREÇO",IF(OR(AH81="",AH81=0),"DEFINIR FORNECEDOR",IF(OR(AG81&lt;&gt;"",AG81&lt;&gt;0),VLOOKUP(AH81,#REF!,2,FALSE)))))</f>
        <v/>
      </c>
      <c r="AJ81" s="217"/>
      <c r="AK81" s="218"/>
      <c r="AL81" s="220" t="str">
        <f t="shared" ca="1" si="50"/>
        <v/>
      </c>
      <c r="AM81" s="229"/>
      <c r="AN81" s="231"/>
      <c r="AO81" s="206" t="str">
        <f>IF(AND(OR(AM81="",AM81=0),OR(AM81="",AN81=0)),"",IF(OR(AM81="",AM81=0),"DEFINIR PREÇO",IF(OR(AN81="",AN81=0),"DEFINIR FORNECEDOR",IF(OR(AM81&lt;&gt;"",AM81&lt;&gt;0),VLOOKUP(AN81,#REF!,2,FALSE)))))</f>
        <v/>
      </c>
      <c r="AP81" s="217"/>
      <c r="AQ81" s="218"/>
      <c r="AR81" s="220" t="str">
        <f t="shared" ca="1" si="51"/>
        <v/>
      </c>
      <c r="AS81" s="229"/>
      <c r="AT81" s="231"/>
      <c r="AU81" s="194"/>
      <c r="AV81" s="217"/>
      <c r="AW81" s="218"/>
      <c r="AX81" s="220" t="str">
        <f t="shared" ca="1" si="52"/>
        <v/>
      </c>
      <c r="AY81" s="229"/>
      <c r="AZ81" s="234"/>
      <c r="BA81" s="209" t="str">
        <f>IF(AND(OR(AY81="",AY81=0),OR(AY81="",AZ81=0)),"",IF(OR(AY81="",AY81=0),"DEFINIR PREÇO",IF(OR(AZ81="",AZ81=0),"DEFINIR FORNECEDOR",IF(OR(AY81&lt;&gt;"",AY81&lt;&gt;0),VLOOKUP(AZ81,#REF!,2,FALSE)))))</f>
        <v/>
      </c>
      <c r="BB81" s="217"/>
      <c r="BC81" s="218"/>
      <c r="BD81" s="220" t="str">
        <f t="shared" ca="1" si="53"/>
        <v/>
      </c>
      <c r="BE81" s="195"/>
      <c r="BF81" s="196"/>
      <c r="BG81" s="194"/>
      <c r="BH81" s="194"/>
      <c r="BI81" s="194"/>
      <c r="BJ81" s="197"/>
    </row>
    <row r="82" spans="1:62" x14ac:dyDescent="0.25">
      <c r="A82" s="44"/>
      <c r="B82" s="45"/>
      <c r="C82" s="45"/>
      <c r="D82" s="139" t="s">
        <v>1285</v>
      </c>
      <c r="E82" s="45" t="s">
        <v>23</v>
      </c>
      <c r="F82" s="46"/>
      <c r="G82" s="47"/>
      <c r="H82" s="240" t="s">
        <v>2000</v>
      </c>
      <c r="I82" s="240" t="s">
        <v>2001</v>
      </c>
      <c r="J82" s="242" t="str">
        <f>IFERROR(IF(N82&lt;&gt;"",M82,IF(I82 = PARÂMETROS!$B$5,Q82, IF(I82 = PARÂMETROS!$B$6,R82,IF(I82 = PARÂMETROS!$B$7,S82,IF(I82 = PARÂMETROS!$B$8, T82,"DEFINIR CRITÉRIO"))))),"SEM PREÇO")</f>
        <v>SEM PREÇO</v>
      </c>
      <c r="K82" s="241">
        <f t="shared" si="42"/>
        <v>0</v>
      </c>
      <c r="L82" s="238" t="str">
        <f t="shared" si="43"/>
        <v/>
      </c>
      <c r="M82" s="51" t="e">
        <f>VLOOKUP(N82,#REF!,4,FALSE)</f>
        <v>#REF!</v>
      </c>
      <c r="N82" s="52">
        <v>2759</v>
      </c>
      <c r="O82" s="53" t="s">
        <v>404</v>
      </c>
      <c r="P82" s="235">
        <f t="shared" si="44"/>
        <v>0</v>
      </c>
      <c r="Q82" s="236">
        <f t="shared" si="45"/>
        <v>0</v>
      </c>
      <c r="R82" s="236">
        <f t="shared" si="46"/>
        <v>0</v>
      </c>
      <c r="S82" s="236">
        <f t="shared" si="47"/>
        <v>0</v>
      </c>
      <c r="T82" s="236">
        <f t="shared" si="48"/>
        <v>0</v>
      </c>
      <c r="U82" s="237" t="str">
        <f>IF(AA82 = "", "", IF(OR($H82 = PARÂMETROS!$E$5, $H82 = ""), AA82, IF(OR(AA82 &lt; (1-VLOOKUP($H82,PARÂMETROS!$E:$F,2,FALSE))*$P82, AA82 &gt; (1+VLOOKUP($H82,PARÂMETROS!$E:$F,2,FALSE))*$P82),"",AA82)))</f>
        <v/>
      </c>
      <c r="V82" s="237" t="str">
        <f>IF(AG82 = "", "", IF(OR($H82 = PARÂMETROS!$E$5, $H82 = ""), AG82, IF(OR(AG82 &lt; (1-VLOOKUP($H82,PARÂMETROS!$E:$F,2,FALSE))*$P87, AG82 &gt; (1+VLOOKUP($H82,PARÂMETROS!$E:$F,2,FALSE))*$P82),"",AG82)))</f>
        <v/>
      </c>
      <c r="W82" s="237" t="str">
        <f>IF(AM82 = "", "", IF(OR($H82 = PARÂMETROS!$E$5, $H82 = ""), AM82, IF(OR(AM82 &lt; (1-VLOOKUP($H82,PARÂMETROS!$E:$F,2,FALSE))*$P82, AM82 &gt; (1+VLOOKUP($H82,PARÂMETROS!$E:$F,2,FALSE))*$P82),"",AM82)))</f>
        <v/>
      </c>
      <c r="X82" s="237" t="str">
        <f>IF(AS82 = "", "", IF(OR($H82 = PARÂMETROS!$E$5, $H82 = ""), AS82, IF(OR(AS82 &lt; (1-VLOOKUP($H82,PARÂMETROS!$E:$F,2,FALSE))*$P82, AS82 &gt; (1+VLOOKUP($H82,PARÂMETROS!$E:$F,2,FALSE))*$P82),"",AS82)))</f>
        <v/>
      </c>
      <c r="Y82" s="237" t="str">
        <f>IF(AY82 = "", "", IF(OR($H82 = PARÂMETROS!$E$5, $H82 = ""), AY82, IF(OR(AY82 &lt; (1-VLOOKUP($H82,PARÂMETROS!$E:$F,2,FALSE))*$P82, AY82 &gt; (1+VLOOKUP($H82,PARÂMETROS!$E:$F,2,FALSE))*$P82),"",AY82)))</f>
        <v/>
      </c>
      <c r="Z82" s="237" t="str">
        <f>IF(BE82 = "", "", IF(OR($H82 = PARÂMETROS!$E$5, $H82 = ""), BE82, IF(OR(BE82 &lt; (1-VLOOKUP($H82,PARÂMETROS!$E:$F,2,FALSE))*$P82, BE82 &gt; (1+VLOOKUP($H82,PARÂMETROS!$E:$F,2,FALSE))*$P82),"",BE82)))</f>
        <v/>
      </c>
      <c r="AA82" s="207"/>
      <c r="AB82" s="208"/>
      <c r="AC82" s="206"/>
      <c r="AD82" s="217"/>
      <c r="AE82" s="218"/>
      <c r="AF82" s="220" t="str">
        <f t="shared" ca="1" si="49"/>
        <v/>
      </c>
      <c r="AG82" s="229"/>
      <c r="AH82" s="231"/>
      <c r="AI82" s="206"/>
      <c r="AJ82" s="217"/>
      <c r="AK82" s="218"/>
      <c r="AL82" s="220" t="str">
        <f t="shared" ca="1" si="50"/>
        <v/>
      </c>
      <c r="AM82" s="229"/>
      <c r="AN82" s="231"/>
      <c r="AO82" s="206"/>
      <c r="AP82" s="217"/>
      <c r="AQ82" s="218"/>
      <c r="AR82" s="220" t="str">
        <f t="shared" ca="1" si="51"/>
        <v/>
      </c>
      <c r="AS82" s="229"/>
      <c r="AT82" s="231"/>
      <c r="AU82" s="194"/>
      <c r="AV82" s="217"/>
      <c r="AW82" s="218"/>
      <c r="AX82" s="220" t="str">
        <f t="shared" ca="1" si="52"/>
        <v/>
      </c>
      <c r="AY82" s="229"/>
      <c r="AZ82" s="234"/>
      <c r="BA82" s="209" t="str">
        <f>IF(AND(OR(AY82="",AY82=0),OR(AY82="",AZ82=0)),"",IF(OR(AY82="",AY82=0),"DEFINIR PREÇO",IF(OR(AZ82="",AZ82=0),"DEFINIR FORNECEDOR",IF(OR(AY82&lt;&gt;"",AY82&lt;&gt;0),VLOOKUP(AZ82,#REF!,2,FALSE)))))</f>
        <v/>
      </c>
      <c r="BB82" s="217"/>
      <c r="BC82" s="218"/>
      <c r="BD82" s="220" t="str">
        <f t="shared" ca="1" si="53"/>
        <v/>
      </c>
      <c r="BE82" s="195"/>
      <c r="BF82" s="196"/>
      <c r="BG82" s="194"/>
      <c r="BH82" s="194"/>
      <c r="BI82" s="194"/>
      <c r="BJ82" s="197"/>
    </row>
    <row r="83" spans="1:62" x14ac:dyDescent="0.25">
      <c r="A83" s="44"/>
      <c r="B83" s="45"/>
      <c r="C83" s="45"/>
      <c r="D83" s="139" t="s">
        <v>1286</v>
      </c>
      <c r="E83" s="45" t="s">
        <v>23</v>
      </c>
      <c r="F83" s="46"/>
      <c r="G83" s="47"/>
      <c r="H83" s="240" t="s">
        <v>2000</v>
      </c>
      <c r="I83" s="240" t="s">
        <v>2001</v>
      </c>
      <c r="J83" s="242" t="str">
        <f>IFERROR(IF(N83&lt;&gt;"",M83,IF(I83 = PARÂMETROS!$B$5,Q83, IF(I83 = PARÂMETROS!$B$6,R83,IF(I83 = PARÂMETROS!$B$7,S83,IF(I83 = PARÂMETROS!$B$8, T83,"DEFINIR CRITÉRIO"))))),"SEM PREÇO")</f>
        <v>SEM PREÇO</v>
      </c>
      <c r="K83" s="241">
        <f t="shared" si="42"/>
        <v>0</v>
      </c>
      <c r="L83" s="238" t="str">
        <f t="shared" si="43"/>
        <v/>
      </c>
      <c r="M83" s="51" t="e">
        <f>VLOOKUP(N83,#REF!,4,FALSE)</f>
        <v>#REF!</v>
      </c>
      <c r="N83" s="52" t="s">
        <v>1287</v>
      </c>
      <c r="O83" s="53" t="s">
        <v>422</v>
      </c>
      <c r="P83" s="235">
        <f t="shared" si="44"/>
        <v>0</v>
      </c>
      <c r="Q83" s="236">
        <f t="shared" si="45"/>
        <v>0</v>
      </c>
      <c r="R83" s="236">
        <f t="shared" si="46"/>
        <v>0</v>
      </c>
      <c r="S83" s="236">
        <f t="shared" si="47"/>
        <v>0</v>
      </c>
      <c r="T83" s="236">
        <f t="shared" si="48"/>
        <v>0</v>
      </c>
      <c r="U83" s="237" t="str">
        <f>IF(AA83 = "", "", IF(OR($H83 = PARÂMETROS!$E$5, $H83 = ""), AA83, IF(OR(AA83 &lt; (1-VLOOKUP($H83,PARÂMETROS!$E:$F,2,FALSE))*$P83, AA83 &gt; (1+VLOOKUP($H83,PARÂMETROS!$E:$F,2,FALSE))*$P83),"",AA83)))</f>
        <v/>
      </c>
      <c r="V83" s="237" t="str">
        <f>IF(AG83 = "", "", IF(OR($H83 = PARÂMETROS!$E$5, $H83 = ""), AG83, IF(OR(AG83 &lt; (1-VLOOKUP($H83,PARÂMETROS!$E:$F,2,FALSE))*$P88, AG83 &gt; (1+VLOOKUP($H83,PARÂMETROS!$E:$F,2,FALSE))*$P83),"",AG83)))</f>
        <v/>
      </c>
      <c r="W83" s="237" t="str">
        <f>IF(AM83 = "", "", IF(OR($H83 = PARÂMETROS!$E$5, $H83 = ""), AM83, IF(OR(AM83 &lt; (1-VLOOKUP($H83,PARÂMETROS!$E:$F,2,FALSE))*$P83, AM83 &gt; (1+VLOOKUP($H83,PARÂMETROS!$E:$F,2,FALSE))*$P83),"",AM83)))</f>
        <v/>
      </c>
      <c r="X83" s="237" t="str">
        <f>IF(AS83 = "", "", IF(OR($H83 = PARÂMETROS!$E$5, $H83 = ""), AS83, IF(OR(AS83 &lt; (1-VLOOKUP($H83,PARÂMETROS!$E:$F,2,FALSE))*$P83, AS83 &gt; (1+VLOOKUP($H83,PARÂMETROS!$E:$F,2,FALSE))*$P83),"",AS83)))</f>
        <v/>
      </c>
      <c r="Y83" s="237" t="str">
        <f>IF(AY83 = "", "", IF(OR($H83 = PARÂMETROS!$E$5, $H83 = ""), AY83, IF(OR(AY83 &lt; (1-VLOOKUP($H83,PARÂMETROS!$E:$F,2,FALSE))*$P83, AY83 &gt; (1+VLOOKUP($H83,PARÂMETROS!$E:$F,2,FALSE))*$P83),"",AY83)))</f>
        <v/>
      </c>
      <c r="Z83" s="237" t="str">
        <f>IF(BE83 = "", "", IF(OR($H83 = PARÂMETROS!$E$5, $H83 = ""), BE83, IF(OR(BE83 &lt; (1-VLOOKUP($H83,PARÂMETROS!$E:$F,2,FALSE))*$P83, BE83 &gt; (1+VLOOKUP($H83,PARÂMETROS!$E:$F,2,FALSE))*$P83),"",BE83)))</f>
        <v/>
      </c>
      <c r="AA83" s="207"/>
      <c r="AB83" s="208"/>
      <c r="AC83" s="206"/>
      <c r="AD83" s="217"/>
      <c r="AE83" s="218"/>
      <c r="AF83" s="220" t="str">
        <f t="shared" ca="1" si="49"/>
        <v/>
      </c>
      <c r="AG83" s="229"/>
      <c r="AH83" s="231"/>
      <c r="AI83" s="206"/>
      <c r="AJ83" s="217"/>
      <c r="AK83" s="218"/>
      <c r="AL83" s="220" t="str">
        <f t="shared" ca="1" si="50"/>
        <v/>
      </c>
      <c r="AM83" s="229"/>
      <c r="AN83" s="231"/>
      <c r="AO83" s="206"/>
      <c r="AP83" s="217"/>
      <c r="AQ83" s="218"/>
      <c r="AR83" s="220" t="str">
        <f t="shared" ca="1" si="51"/>
        <v/>
      </c>
      <c r="AS83" s="229"/>
      <c r="AT83" s="231"/>
      <c r="AU83" s="194"/>
      <c r="AV83" s="217"/>
      <c r="AW83" s="218"/>
      <c r="AX83" s="220" t="str">
        <f t="shared" ca="1" si="52"/>
        <v/>
      </c>
      <c r="AY83" s="229"/>
      <c r="AZ83" s="234"/>
      <c r="BA83" s="209" t="str">
        <f>IF(AND(OR(AY83="",AY83=0),OR(AY83="",AZ83=0)),"",IF(OR(AY83="",AY83=0),"DEFINIR PREÇO",IF(OR(AZ83="",AZ83=0),"DEFINIR FORNECEDOR",IF(OR(AY83&lt;&gt;"",AY83&lt;&gt;0),VLOOKUP(AZ83,#REF!,2,FALSE)))))</f>
        <v/>
      </c>
      <c r="BB83" s="217"/>
      <c r="BC83" s="218"/>
      <c r="BD83" s="220" t="str">
        <f t="shared" ca="1" si="53"/>
        <v/>
      </c>
      <c r="BE83" s="195"/>
      <c r="BF83" s="196"/>
      <c r="BG83" s="194"/>
      <c r="BH83" s="194"/>
      <c r="BI83" s="194"/>
      <c r="BJ83" s="197"/>
    </row>
    <row r="84" spans="1:62" ht="30" x14ac:dyDescent="0.25">
      <c r="A84" s="44" t="s">
        <v>405</v>
      </c>
      <c r="B84" s="45" t="s">
        <v>66</v>
      </c>
      <c r="C84" s="45">
        <v>4</v>
      </c>
      <c r="D84" s="55" t="s">
        <v>65</v>
      </c>
      <c r="E84" s="45" t="s">
        <v>23</v>
      </c>
      <c r="F84" s="46" t="str">
        <f t="shared" si="58"/>
        <v>DEFINIR CRITÉRIO</v>
      </c>
      <c r="G84" s="47" t="str">
        <f t="shared" si="59"/>
        <v>DEFINIR CRITÉRIO</v>
      </c>
      <c r="H84" s="240" t="s">
        <v>2000</v>
      </c>
      <c r="I84" s="240" t="s">
        <v>2001</v>
      </c>
      <c r="J84" s="242" t="str">
        <f>IFERROR(IF(N84&lt;&gt;"",M84,IF(I84 = PARÂMETROS!$B$5,Q84, IF(I84 = PARÂMETROS!$B$6,R84,IF(I84 = PARÂMETROS!$B$7,S84,IF(I84 = PARÂMETROS!$B$8, T84,"DEFINIR CRITÉRIO"))))),"SEM PREÇO")</f>
        <v>DEFINIR CRITÉRIO</v>
      </c>
      <c r="K84" s="241" t="str">
        <f t="shared" si="42"/>
        <v/>
      </c>
      <c r="L84" s="238" t="str">
        <f t="shared" si="43"/>
        <v/>
      </c>
      <c r="M84" s="51"/>
      <c r="N84" s="52"/>
      <c r="O84" s="53"/>
      <c r="P84" s="235">
        <f t="shared" si="44"/>
        <v>25.696666666666669</v>
      </c>
      <c r="Q84" s="236">
        <f t="shared" si="45"/>
        <v>0</v>
      </c>
      <c r="R84" s="236">
        <f t="shared" si="46"/>
        <v>0</v>
      </c>
      <c r="S84" s="236">
        <f t="shared" si="47"/>
        <v>0</v>
      </c>
      <c r="T84" s="236">
        <f t="shared" si="48"/>
        <v>0</v>
      </c>
      <c r="U84" s="237" t="e">
        <f>IF(AA84 = "", "", IF(OR($H84 = PARÂMETROS!$E$5, $H84 = ""), AA84, IF(OR(AA84 &lt; (1-VLOOKUP($H84,PARÂMETROS!$E:$F,2,FALSE))*$P84, AA84 &gt; (1+VLOOKUP($H84,PARÂMETROS!$E:$F,2,FALSE))*$P84),"",AA84)))</f>
        <v>#N/A</v>
      </c>
      <c r="V84" s="237" t="e">
        <f>IF(AG84 = "", "", IF(OR($H84 = PARÂMETROS!$E$5, $H84 = ""), AG84, IF(OR(AG84 &lt; (1-VLOOKUP($H84,PARÂMETROS!$E:$F,2,FALSE))*$P89, AG84 &gt; (1+VLOOKUP($H84,PARÂMETROS!$E:$F,2,FALSE))*$P84),"",AG84)))</f>
        <v>#N/A</v>
      </c>
      <c r="W84" s="237" t="e">
        <f>IF(AM84 = "", "", IF(OR($H84 = PARÂMETROS!$E$5, $H84 = ""), AM84, IF(OR(AM84 &lt; (1-VLOOKUP($H84,PARÂMETROS!$E:$F,2,FALSE))*$P84, AM84 &gt; (1+VLOOKUP($H84,PARÂMETROS!$E:$F,2,FALSE))*$P84),"",AM84)))</f>
        <v>#N/A</v>
      </c>
      <c r="X84" s="237" t="str">
        <f>IF(AS84 = "", "", IF(OR($H84 = PARÂMETROS!$E$5, $H84 = ""), AS84, IF(OR(AS84 &lt; (1-VLOOKUP($H84,PARÂMETROS!$E:$F,2,FALSE))*$P84, AS84 &gt; (1+VLOOKUP($H84,PARÂMETROS!$E:$F,2,FALSE))*$P84),"",AS84)))</f>
        <v/>
      </c>
      <c r="Y84" s="237" t="str">
        <f>IF(AY84 = "", "", IF(OR($H84 = PARÂMETROS!$E$5, $H84 = ""), AY84, IF(OR(AY84 &lt; (1-VLOOKUP($H84,PARÂMETROS!$E:$F,2,FALSE))*$P84, AY84 &gt; (1+VLOOKUP($H84,PARÂMETROS!$E:$F,2,FALSE))*$P84),"",AY84)))</f>
        <v/>
      </c>
      <c r="Z84" s="237" t="str">
        <f>IF(BE84 = "", "", IF(OR($H84 = PARÂMETROS!$E$5, $H84 = ""), BE84, IF(OR(BE84 &lt; (1-VLOOKUP($H84,PARÂMETROS!$E:$F,2,FALSE))*$P84, BE84 &gt; (1+VLOOKUP($H84,PARÂMETROS!$E:$F,2,FALSE))*$P84),"",BE84)))</f>
        <v/>
      </c>
      <c r="AA84" s="207">
        <v>23.2</v>
      </c>
      <c r="AB84" s="208">
        <v>368</v>
      </c>
      <c r="AC84" s="206" t="e">
        <f>IF(AND(OR(AA84="",AA84=0),OR(AA84="",AB84=0)),"",IF(OR(AA84="",AA84=0),"DEFINIR PREÇO",IF(OR(AB84="",AB84=0),"DEFINIR FORNECEDOR",IF(OR(AA84&lt;&gt;"",AA84&lt;&gt;0),VLOOKUP(AB84,#REF!,2,FALSE)))))</f>
        <v>#REF!</v>
      </c>
      <c r="AD84" s="217" t="s">
        <v>1977</v>
      </c>
      <c r="AE84" s="218">
        <v>44930</v>
      </c>
      <c r="AF84" s="220" t="str">
        <f t="shared" ca="1" si="49"/>
        <v>DESATUALIZADA</v>
      </c>
      <c r="AG84" s="229">
        <v>17.989999999999998</v>
      </c>
      <c r="AH84" s="231">
        <v>827</v>
      </c>
      <c r="AI84" s="206" t="e">
        <f>IF(AND(OR(AG84="",AG84=0),OR(AG84="",AH84=0)),"",IF(OR(AG84="",AG84=0),"DEFINIR PREÇO",IF(OR(AH84="",AH84=0),"DEFINIR FORNECEDOR",IF(OR(AG84&lt;&gt;"",AG84&lt;&gt;0),VLOOKUP(AH84,#REF!,2,FALSE)))))</f>
        <v>#REF!</v>
      </c>
      <c r="AJ84" s="217" t="s">
        <v>1977</v>
      </c>
      <c r="AK84" s="218">
        <v>44930</v>
      </c>
      <c r="AL84" s="220" t="str">
        <f t="shared" ca="1" si="50"/>
        <v>DESATUALIZADA</v>
      </c>
      <c r="AM84" s="229">
        <v>35.9</v>
      </c>
      <c r="AN84" s="231">
        <v>748</v>
      </c>
      <c r="AO84" s="206" t="e">
        <f>IF(AND(OR(AM84="",AM84=0),OR(AM84="",AN84=0)),"",IF(OR(AM84="",AM84=0),"DEFINIR PREÇO",IF(OR(AN84="",AN84=0),"DEFINIR FORNECEDOR",IF(OR(AM84&lt;&gt;"",AM84&lt;&gt;0),VLOOKUP(AN84,#REF!,2,FALSE)))))</f>
        <v>#REF!</v>
      </c>
      <c r="AP84" s="217" t="s">
        <v>1977</v>
      </c>
      <c r="AQ84" s="218">
        <v>44930</v>
      </c>
      <c r="AR84" s="220" t="str">
        <f t="shared" ca="1" si="51"/>
        <v>DESATUALIZADA</v>
      </c>
      <c r="AS84" s="229"/>
      <c r="AT84" s="231"/>
      <c r="AU84" s="191"/>
      <c r="AV84" s="217"/>
      <c r="AW84" s="218"/>
      <c r="AX84" s="220" t="str">
        <f t="shared" ca="1" si="52"/>
        <v/>
      </c>
      <c r="AY84" s="229"/>
      <c r="AZ84" s="234"/>
      <c r="BA84" s="209" t="str">
        <f>IF(AND(OR(AY84="",AY84=0),OR(AY84="",AZ84=0)),"",IF(OR(AY84="",AY84=0),"DEFINIR PREÇO",IF(OR(AZ84="",AZ84=0),"DEFINIR FORNECEDOR",IF(OR(AY84&lt;&gt;"",AY84&lt;&gt;0),VLOOKUP(AZ84,#REF!,2,FALSE)))))</f>
        <v/>
      </c>
      <c r="BB84" s="217"/>
      <c r="BC84" s="218"/>
      <c r="BD84" s="220" t="str">
        <f t="shared" ca="1" si="53"/>
        <v/>
      </c>
      <c r="BE84" s="195"/>
      <c r="BF84" s="196"/>
      <c r="BG84" s="191"/>
      <c r="BH84" s="192"/>
      <c r="BI84" s="192"/>
      <c r="BJ84" s="193"/>
    </row>
    <row r="85" spans="1:62" ht="60" x14ac:dyDescent="0.25">
      <c r="A85" s="44" t="s">
        <v>405</v>
      </c>
      <c r="B85" s="58" t="s">
        <v>249</v>
      </c>
      <c r="C85" s="45">
        <v>4</v>
      </c>
      <c r="D85" s="55" t="s">
        <v>1058</v>
      </c>
      <c r="E85" s="45" t="s">
        <v>23</v>
      </c>
      <c r="F85" s="46" t="str">
        <f>J85</f>
        <v>DEFINIR CRITÉRIO</v>
      </c>
      <c r="G85" s="47" t="str">
        <f>J85</f>
        <v>DEFINIR CRITÉRIO</v>
      </c>
      <c r="H85" s="240" t="s">
        <v>2000</v>
      </c>
      <c r="I85" s="240" t="s">
        <v>2001</v>
      </c>
      <c r="J85" s="242" t="str">
        <f>IFERROR(IF(N85&lt;&gt;"",M85,IF(I85 = PARÂMETROS!$B$5,Q85, IF(I85 = PARÂMETROS!$B$6,R85,IF(I85 = PARÂMETROS!$B$7,S85,IF(I85 = PARÂMETROS!$B$8, T85,"DEFINIR CRITÉRIO"))))),"SEM PREÇO")</f>
        <v>DEFINIR CRITÉRIO</v>
      </c>
      <c r="K85" s="241" t="str">
        <f t="shared" si="42"/>
        <v/>
      </c>
      <c r="L85" s="238" t="str">
        <f t="shared" si="43"/>
        <v/>
      </c>
      <c r="M85" s="51"/>
      <c r="N85" s="52"/>
      <c r="O85" s="53"/>
      <c r="P85" s="235">
        <f t="shared" si="44"/>
        <v>22.3125</v>
      </c>
      <c r="Q85" s="236">
        <f t="shared" si="45"/>
        <v>0</v>
      </c>
      <c r="R85" s="236">
        <f t="shared" si="46"/>
        <v>0</v>
      </c>
      <c r="S85" s="236">
        <f t="shared" si="47"/>
        <v>0</v>
      </c>
      <c r="T85" s="236">
        <f t="shared" si="48"/>
        <v>0</v>
      </c>
      <c r="U85" s="237" t="e">
        <f>IF(AA85 = "", "", IF(OR($H85 = PARÂMETROS!$E$5, $H85 = ""), AA85, IF(OR(AA85 &lt; (1-VLOOKUP($H85,PARÂMETROS!$E:$F,2,FALSE))*$P85, AA85 &gt; (1+VLOOKUP($H85,PARÂMETROS!$E:$F,2,FALSE))*$P85),"",AA85)))</f>
        <v>#N/A</v>
      </c>
      <c r="V85" s="237" t="e">
        <f>IF(AG85 = "", "", IF(OR($H85 = PARÂMETROS!$E$5, $H85 = ""), AG85, IF(OR(AG85 &lt; (1-VLOOKUP($H85,PARÂMETROS!$E:$F,2,FALSE))*$P90, AG85 &gt; (1+VLOOKUP($H85,PARÂMETROS!$E:$F,2,FALSE))*$P85),"",AG85)))</f>
        <v>#N/A</v>
      </c>
      <c r="W85" s="237" t="e">
        <f>IF(AM85 = "", "", IF(OR($H85 = PARÂMETROS!$E$5, $H85 = ""), AM85, IF(OR(AM85 &lt; (1-VLOOKUP($H85,PARÂMETROS!$E:$F,2,FALSE))*$P85, AM85 &gt; (1+VLOOKUP($H85,PARÂMETROS!$E:$F,2,FALSE))*$P85),"",AM85)))</f>
        <v>#N/A</v>
      </c>
      <c r="X85" s="237" t="e">
        <f>IF(AS85 = "", "", IF(OR($H85 = PARÂMETROS!$E$5, $H85 = ""), AS85, IF(OR(AS85 &lt; (1-VLOOKUP($H85,PARÂMETROS!$E:$F,2,FALSE))*$P85, AS85 &gt; (1+VLOOKUP($H85,PARÂMETROS!$E:$F,2,FALSE))*$P85),"",AS85)))</f>
        <v>#N/A</v>
      </c>
      <c r="Y85" s="237" t="str">
        <f>IF(AY85 = "", "", IF(OR($H85 = PARÂMETROS!$E$5, $H85 = ""), AY85, IF(OR(AY85 &lt; (1-VLOOKUP($H85,PARÂMETROS!$E:$F,2,FALSE))*$P85, AY85 &gt; (1+VLOOKUP($H85,PARÂMETROS!$E:$F,2,FALSE))*$P85),"",AY85)))</f>
        <v/>
      </c>
      <c r="Z85" s="237" t="str">
        <f>IF(BE85 = "", "", IF(OR($H85 = PARÂMETROS!$E$5, $H85 = ""), BE85, IF(OR(BE85 &lt; (1-VLOOKUP($H85,PARÂMETROS!$E:$F,2,FALSE))*$P85, BE85 &gt; (1+VLOOKUP($H85,PARÂMETROS!$E:$F,2,FALSE))*$P85),"",BE85)))</f>
        <v/>
      </c>
      <c r="AA85" s="207">
        <v>65.75</v>
      </c>
      <c r="AB85" s="208">
        <v>965</v>
      </c>
      <c r="AC85" s="206" t="e">
        <f>IF(AND(OR(AA85="",AA85=0),OR(AA85="",AB85=0)),"",IF(OR(AA85="",AA85=0),"DEFINIR PREÇO",IF(OR(AB85="",AB85=0),"DEFINIR FORNECEDOR",IF(OR(AA85&lt;&gt;"",AA85&lt;&gt;0),VLOOKUP(AB85,#REF!,2,FALSE)))))</f>
        <v>#REF!</v>
      </c>
      <c r="AD85" s="217" t="s">
        <v>1977</v>
      </c>
      <c r="AE85" s="218">
        <v>44939</v>
      </c>
      <c r="AF85" s="220" t="str">
        <f t="shared" ca="1" si="49"/>
        <v>DESATUALIZADA</v>
      </c>
      <c r="AG85" s="230">
        <v>9</v>
      </c>
      <c r="AH85" s="231">
        <v>2209</v>
      </c>
      <c r="AI85" s="206" t="e">
        <f>IF(AND(OR(AG85="",AG85=0),OR(AG85="",AH85=0)),"",IF(OR(AG85="",AG85=0),"DEFINIR PREÇO",IF(OR(AH85="",AH85=0),"DEFINIR FORNECEDOR",IF(OR(AG85&lt;&gt;"",AG85&lt;&gt;0),VLOOKUP(AH85,#REF!,2,FALSE)))))</f>
        <v>#REF!</v>
      </c>
      <c r="AJ85" s="217" t="s">
        <v>1977</v>
      </c>
      <c r="AK85" s="218">
        <v>44939</v>
      </c>
      <c r="AL85" s="220" t="str">
        <f t="shared" ca="1" si="50"/>
        <v>DESATUALIZADA</v>
      </c>
      <c r="AM85" s="229">
        <v>8.1</v>
      </c>
      <c r="AN85" s="231">
        <v>2210</v>
      </c>
      <c r="AO85" s="206" t="e">
        <f>IF(AND(OR(AM85="",AM85=0),OR(AM85="",AN85=0)),"",IF(OR(AM85="",AM85=0),"DEFINIR PREÇO",IF(OR(AN85="",AN85=0),"DEFINIR FORNECEDOR",IF(OR(AM85&lt;&gt;"",AM85&lt;&gt;0),VLOOKUP(AN85,#REF!,2,FALSE)))))</f>
        <v>#REF!</v>
      </c>
      <c r="AP85" s="217" t="s">
        <v>1977</v>
      </c>
      <c r="AQ85" s="218">
        <v>44939</v>
      </c>
      <c r="AR85" s="220" t="str">
        <f t="shared" ca="1" si="51"/>
        <v>DESATUALIZADA</v>
      </c>
      <c r="AS85" s="229">
        <v>6.4</v>
      </c>
      <c r="AT85" s="231">
        <v>1348</v>
      </c>
      <c r="AU85" s="206" t="e">
        <f>IF(AND(OR(AS85="",AS85=0),OR(AS85="",AT85=0)),"",IF(OR(AS85="",AS85=0),"DEFINIR PREÇO",IF(OR(AT85="",AT85=0),"DEFINIR FORNECEDOR",IF(OR(AS85&lt;&gt;"",AS85&lt;&gt;0),VLOOKUP(AT85,#REF!,2,FALSE)))))</f>
        <v>#REF!</v>
      </c>
      <c r="AV85" s="217" t="s">
        <v>1977</v>
      </c>
      <c r="AW85" s="218">
        <v>44939</v>
      </c>
      <c r="AX85" s="220" t="str">
        <f t="shared" ca="1" si="52"/>
        <v>DESATUALIZADA</v>
      </c>
      <c r="AY85" s="229"/>
      <c r="AZ85" s="234"/>
      <c r="BA85" s="209" t="str">
        <f>IF(AND(OR(AY85="",AY85=0),OR(AY85="",AZ85=0)),"",IF(OR(AY85="",AY85=0),"DEFINIR PREÇO",IF(OR(AZ85="",AZ85=0),"DEFINIR FORNECEDOR",IF(OR(AY85&lt;&gt;"",AY85&lt;&gt;0),VLOOKUP(AZ85,#REF!,2,FALSE)))))</f>
        <v/>
      </c>
      <c r="BB85" s="217"/>
      <c r="BC85" s="218"/>
      <c r="BD85" s="220" t="str">
        <f t="shared" ca="1" si="53"/>
        <v/>
      </c>
      <c r="BE85" s="195"/>
      <c r="BF85" s="196"/>
      <c r="BG85" s="194"/>
      <c r="BH85" s="194"/>
      <c r="BI85" s="194"/>
      <c r="BJ85" s="197"/>
    </row>
    <row r="86" spans="1:62" ht="30" x14ac:dyDescent="0.25">
      <c r="A86" s="44" t="s">
        <v>405</v>
      </c>
      <c r="B86" s="58" t="s">
        <v>410</v>
      </c>
      <c r="C86" s="45">
        <v>4</v>
      </c>
      <c r="D86" s="55" t="s">
        <v>251</v>
      </c>
      <c r="E86" s="45" t="s">
        <v>23</v>
      </c>
      <c r="F86" s="46" t="str">
        <f>J86</f>
        <v>DEFINIR CRITÉRIO</v>
      </c>
      <c r="G86" s="47" t="str">
        <f>J86</f>
        <v>DEFINIR CRITÉRIO</v>
      </c>
      <c r="H86" s="240" t="s">
        <v>2000</v>
      </c>
      <c r="I86" s="240" t="s">
        <v>2001</v>
      </c>
      <c r="J86" s="242" t="str">
        <f>IFERROR(IF(N86&lt;&gt;"",M86,IF(I86 = PARÂMETROS!$B$5,Q86, IF(I86 = PARÂMETROS!$B$6,R86,IF(I86 = PARÂMETROS!$B$7,S86,IF(I86 = PARÂMETROS!$B$8, T86,"DEFINIR CRITÉRIO"))))),"SEM PREÇO")</f>
        <v>DEFINIR CRITÉRIO</v>
      </c>
      <c r="K86" s="241" t="str">
        <f t="shared" si="42"/>
        <v/>
      </c>
      <c r="L86" s="238" t="str">
        <f t="shared" si="43"/>
        <v/>
      </c>
      <c r="M86" s="51"/>
      <c r="N86" s="52"/>
      <c r="O86" s="53"/>
      <c r="P86" s="235">
        <f t="shared" si="44"/>
        <v>385.68333333333334</v>
      </c>
      <c r="Q86" s="236">
        <f t="shared" si="45"/>
        <v>0</v>
      </c>
      <c r="R86" s="236">
        <f t="shared" si="46"/>
        <v>0</v>
      </c>
      <c r="S86" s="236">
        <f t="shared" si="47"/>
        <v>0</v>
      </c>
      <c r="T86" s="236">
        <f t="shared" si="48"/>
        <v>0</v>
      </c>
      <c r="U86" s="237" t="e">
        <f>IF(AA86 = "", "", IF(OR($H86 = PARÂMETROS!$E$5, $H86 = ""), AA86, IF(OR(AA86 &lt; (1-VLOOKUP($H86,PARÂMETROS!$E:$F,2,FALSE))*$P86, AA86 &gt; (1+VLOOKUP($H86,PARÂMETROS!$E:$F,2,FALSE))*$P86),"",AA86)))</f>
        <v>#N/A</v>
      </c>
      <c r="V86" s="237" t="e">
        <f>IF(AG86 = "", "", IF(OR($H86 = PARÂMETROS!$E$5, $H86 = ""), AG86, IF(OR(AG86 &lt; (1-VLOOKUP($H86,PARÂMETROS!$E:$F,2,FALSE))*$P91, AG86 &gt; (1+VLOOKUP($H86,PARÂMETROS!$E:$F,2,FALSE))*$P86),"",AG86)))</f>
        <v>#N/A</v>
      </c>
      <c r="W86" s="237" t="e">
        <f>IF(AM86 = "", "", IF(OR($H86 = PARÂMETROS!$E$5, $H86 = ""), AM86, IF(OR(AM86 &lt; (1-VLOOKUP($H86,PARÂMETROS!$E:$F,2,FALSE))*$P86, AM86 &gt; (1+VLOOKUP($H86,PARÂMETROS!$E:$F,2,FALSE))*$P86),"",AM86)))</f>
        <v>#N/A</v>
      </c>
      <c r="X86" s="237" t="str">
        <f>IF(AS86 = "", "", IF(OR($H86 = PARÂMETROS!$E$5, $H86 = ""), AS86, IF(OR(AS86 &lt; (1-VLOOKUP($H86,PARÂMETROS!$E:$F,2,FALSE))*$P86, AS86 &gt; (1+VLOOKUP($H86,PARÂMETROS!$E:$F,2,FALSE))*$P86),"",AS86)))</f>
        <v/>
      </c>
      <c r="Y86" s="237" t="str">
        <f>IF(AY86 = "", "", IF(OR($H86 = PARÂMETROS!$E$5, $H86 = ""), AY86, IF(OR(AY86 &lt; (1-VLOOKUP($H86,PARÂMETROS!$E:$F,2,FALSE))*$P86, AY86 &gt; (1+VLOOKUP($H86,PARÂMETROS!$E:$F,2,FALSE))*$P86),"",AY86)))</f>
        <v/>
      </c>
      <c r="Z86" s="237" t="str">
        <f>IF(BE86 = "", "", IF(OR($H86 = PARÂMETROS!$E$5, $H86 = ""), BE86, IF(OR(BE86 &lt; (1-VLOOKUP($H86,PARÂMETROS!$E:$F,2,FALSE))*$P86, BE86 &gt; (1+VLOOKUP($H86,PARÂMETROS!$E:$F,2,FALSE))*$P86),"",BE86)))</f>
        <v/>
      </c>
      <c r="AA86" s="207">
        <v>595</v>
      </c>
      <c r="AB86" s="208">
        <v>628</v>
      </c>
      <c r="AC86" s="206" t="e">
        <f>IF(AND(OR(AA86="",AA86=0),OR(AA86="",AB86=0)),"",IF(OR(AA86="",AA86=0),"DEFINIR PREÇO",IF(OR(AB86="",AB86=0),"DEFINIR FORNECEDOR",IF(OR(AA86&lt;&gt;"",AA86&lt;&gt;0),VLOOKUP(AB86,#REF!,2,FALSE)))))</f>
        <v>#REF!</v>
      </c>
      <c r="AD86" s="217" t="s">
        <v>1982</v>
      </c>
      <c r="AE86" s="218">
        <v>44942</v>
      </c>
      <c r="AF86" s="220" t="str">
        <f t="shared" ca="1" si="49"/>
        <v>DESATUALIZADA</v>
      </c>
      <c r="AG86" s="229">
        <v>408.12</v>
      </c>
      <c r="AH86" s="231">
        <v>636</v>
      </c>
      <c r="AI86" s="206" t="e">
        <f>IF(AND(OR(AG86="",AG86=0),OR(AG86="",AH86=0)),"",IF(OR(AG86="",AG86=0),"DEFINIR PREÇO",IF(OR(AH86="",AH86=0),"DEFINIR FORNECEDOR",IF(OR(AG86&lt;&gt;"",AG86&lt;&gt;0),VLOOKUP(AH86,#REF!,2,FALSE)))))</f>
        <v>#REF!</v>
      </c>
      <c r="AJ86" s="219" t="s">
        <v>2014</v>
      </c>
      <c r="AK86" s="218">
        <v>44942</v>
      </c>
      <c r="AL86" s="220" t="str">
        <f t="shared" ca="1" si="50"/>
        <v>DESATUALIZADA</v>
      </c>
      <c r="AM86" s="229">
        <v>153.93</v>
      </c>
      <c r="AN86" s="231">
        <v>2208</v>
      </c>
      <c r="AO86" s="206" t="e">
        <f>IF(AND(OR(AM86="",AM86=0),OR(AM86="",AN86=0)),"",IF(OR(AM86="",AM86=0),"DEFINIR PREÇO",IF(OR(AN86="",AN86=0),"DEFINIR FORNECEDOR",IF(OR(AM86&lt;&gt;"",AM86&lt;&gt;0),VLOOKUP(AN86,#REF!,2,FALSE)))))</f>
        <v>#REF!</v>
      </c>
      <c r="AP86" s="217" t="s">
        <v>1977</v>
      </c>
      <c r="AQ86" s="218">
        <v>44944</v>
      </c>
      <c r="AR86" s="220" t="str">
        <f t="shared" ca="1" si="51"/>
        <v>DESATUALIZADA</v>
      </c>
      <c r="AS86" s="229"/>
      <c r="AT86" s="231"/>
      <c r="AU86" s="194"/>
      <c r="AV86" s="217"/>
      <c r="AW86" s="218"/>
      <c r="AX86" s="220" t="str">
        <f t="shared" ca="1" si="52"/>
        <v/>
      </c>
      <c r="AY86" s="229"/>
      <c r="AZ86" s="234"/>
      <c r="BA86" s="209" t="str">
        <f>IF(AND(OR(AY86="",AY86=0),OR(AY86="",AZ86=0)),"",IF(OR(AY86="",AY86=0),"DEFINIR PREÇO",IF(OR(AZ86="",AZ86=0),"DEFINIR FORNECEDOR",IF(OR(AY86&lt;&gt;"",AY86&lt;&gt;0),VLOOKUP(AZ86,#REF!,2,FALSE)))))</f>
        <v/>
      </c>
      <c r="BB86" s="217"/>
      <c r="BC86" s="218"/>
      <c r="BD86" s="220" t="str">
        <f t="shared" ca="1" si="53"/>
        <v/>
      </c>
      <c r="BE86" s="195"/>
      <c r="BF86" s="196"/>
      <c r="BG86" s="194"/>
      <c r="BH86" s="194"/>
      <c r="BI86" s="194"/>
      <c r="BJ86" s="197"/>
    </row>
    <row r="87" spans="1:62" ht="30" x14ac:dyDescent="0.25">
      <c r="A87" s="44" t="s">
        <v>405</v>
      </c>
      <c r="B87" s="45" t="s">
        <v>411</v>
      </c>
      <c r="C87" s="45">
        <v>4</v>
      </c>
      <c r="D87" s="55" t="s">
        <v>252</v>
      </c>
      <c r="E87" s="45" t="s">
        <v>23</v>
      </c>
      <c r="F87" s="46" t="str">
        <f t="shared" ref="F87:F88" si="60">J87</f>
        <v>DEFINIR CRITÉRIO</v>
      </c>
      <c r="G87" s="47" t="str">
        <f t="shared" ref="G87:G88" si="61">J87</f>
        <v>DEFINIR CRITÉRIO</v>
      </c>
      <c r="H87" s="240" t="s">
        <v>2000</v>
      </c>
      <c r="I87" s="240" t="s">
        <v>2001</v>
      </c>
      <c r="J87" s="242" t="str">
        <f>IFERROR(IF(N87&lt;&gt;"",M87,IF(I87 = PARÂMETROS!$B$5,Q87, IF(I87 = PARÂMETROS!$B$6,R87,IF(I87 = PARÂMETROS!$B$7,S87,IF(I87 = PARÂMETROS!$B$8, T87,"DEFINIR CRITÉRIO"))))),"SEM PREÇO")</f>
        <v>DEFINIR CRITÉRIO</v>
      </c>
      <c r="K87" s="241" t="str">
        <f t="shared" si="42"/>
        <v/>
      </c>
      <c r="L87" s="238" t="str">
        <f t="shared" si="43"/>
        <v/>
      </c>
      <c r="M87" s="51"/>
      <c r="N87" s="52"/>
      <c r="O87" s="53"/>
      <c r="P87" s="235">
        <f t="shared" si="44"/>
        <v>16.022500000000001</v>
      </c>
      <c r="Q87" s="236">
        <f t="shared" si="45"/>
        <v>0</v>
      </c>
      <c r="R87" s="236">
        <f t="shared" si="46"/>
        <v>0</v>
      </c>
      <c r="S87" s="236">
        <f t="shared" si="47"/>
        <v>0</v>
      </c>
      <c r="T87" s="236">
        <f t="shared" si="48"/>
        <v>0</v>
      </c>
      <c r="U87" s="237" t="e">
        <f>IF(AA87 = "", "", IF(OR($H87 = PARÂMETROS!$E$5, $H87 = ""), AA87, IF(OR(AA87 &lt; (1-VLOOKUP($H87,PARÂMETROS!$E:$F,2,FALSE))*$P87, AA87 &gt; (1+VLOOKUP($H87,PARÂMETROS!$E:$F,2,FALSE))*$P87),"",AA87)))</f>
        <v>#N/A</v>
      </c>
      <c r="V87" s="237" t="e">
        <f>IF(AG87 = "", "", IF(OR($H87 = PARÂMETROS!$E$5, $H87 = ""), AG87, IF(OR(AG87 &lt; (1-VLOOKUP($H87,PARÂMETROS!$E:$F,2,FALSE))*$P92, AG87 &gt; (1+VLOOKUP($H87,PARÂMETROS!$E:$F,2,FALSE))*$P87),"",AG87)))</f>
        <v>#N/A</v>
      </c>
      <c r="W87" s="237" t="e">
        <f>IF(AM87 = "", "", IF(OR($H87 = PARÂMETROS!$E$5, $H87 = ""), AM87, IF(OR(AM87 &lt; (1-VLOOKUP($H87,PARÂMETROS!$E:$F,2,FALSE))*$P87, AM87 &gt; (1+VLOOKUP($H87,PARÂMETROS!$E:$F,2,FALSE))*$P87),"",AM87)))</f>
        <v>#N/A</v>
      </c>
      <c r="X87" s="237" t="e">
        <f>IF(AS87 = "", "", IF(OR($H87 = PARÂMETROS!$E$5, $H87 = ""), AS87, IF(OR(AS87 &lt; (1-VLOOKUP($H87,PARÂMETROS!$E:$F,2,FALSE))*$P87, AS87 &gt; (1+VLOOKUP($H87,PARÂMETROS!$E:$F,2,FALSE))*$P87),"",AS87)))</f>
        <v>#N/A</v>
      </c>
      <c r="Y87" s="237" t="str">
        <f>IF(AY87 = "", "", IF(OR($H87 = PARÂMETROS!$E$5, $H87 = ""), AY87, IF(OR(AY87 &lt; (1-VLOOKUP($H87,PARÂMETROS!$E:$F,2,FALSE))*$P87, AY87 &gt; (1+VLOOKUP($H87,PARÂMETROS!$E:$F,2,FALSE))*$P87),"",AY87)))</f>
        <v/>
      </c>
      <c r="Z87" s="237" t="str">
        <f>IF(BE87 = "", "", IF(OR($H87 = PARÂMETROS!$E$5, $H87 = ""), BE87, IF(OR(BE87 &lt; (1-VLOOKUP($H87,PARÂMETROS!$E:$F,2,FALSE))*$P87, BE87 &gt; (1+VLOOKUP($H87,PARÂMETROS!$E:$F,2,FALSE))*$P87),"",BE87)))</f>
        <v/>
      </c>
      <c r="AA87" s="207">
        <v>9.2100000000000009</v>
      </c>
      <c r="AB87" s="208">
        <v>1044</v>
      </c>
      <c r="AC87" s="206" t="e">
        <f>IF(AND(OR(AA87="",AA87=0),OR(AA87="",AB87=0)),"",IF(OR(AA87="",AA87=0),"DEFINIR PREÇO",IF(OR(AB87="",AB87=0),"DEFINIR FORNECEDOR",IF(OR(AA87&lt;&gt;"",AA87&lt;&gt;0),VLOOKUP(AB87,#REF!,2,FALSE)))))</f>
        <v>#REF!</v>
      </c>
      <c r="AD87" s="217" t="s">
        <v>1977</v>
      </c>
      <c r="AE87" s="218">
        <v>44930</v>
      </c>
      <c r="AF87" s="220" t="str">
        <f t="shared" ca="1" si="49"/>
        <v>DESATUALIZADA</v>
      </c>
      <c r="AG87" s="229">
        <v>18.899999999999999</v>
      </c>
      <c r="AH87" s="231">
        <v>304</v>
      </c>
      <c r="AI87" s="206" t="e">
        <f>IF(AND(OR(AG87="",AG87=0),OR(AG87="",AH87=0)),"",IF(OR(AG87="",AG87=0),"DEFINIR PREÇO",IF(OR(AH87="",AH87=0),"DEFINIR FORNECEDOR",IF(OR(AG87&lt;&gt;"",AG87&lt;&gt;0),VLOOKUP(AH87,#REF!,2,FALSE)))))</f>
        <v>#REF!</v>
      </c>
      <c r="AJ87" s="217" t="s">
        <v>1977</v>
      </c>
      <c r="AK87" s="218">
        <v>44930</v>
      </c>
      <c r="AL87" s="220" t="str">
        <f t="shared" ca="1" si="50"/>
        <v>DESATUALIZADA</v>
      </c>
      <c r="AM87" s="229">
        <v>17.59</v>
      </c>
      <c r="AN87" s="231">
        <v>798</v>
      </c>
      <c r="AO87" s="206" t="e">
        <f>IF(AND(OR(AM87="",AM87=0),OR(AM87="",AN87=0)),"",IF(OR(AM87="",AM87=0),"DEFINIR PREÇO",IF(OR(AN87="",AN87=0),"DEFINIR FORNECEDOR",IF(OR(AM87&lt;&gt;"",AM87&lt;&gt;0),VLOOKUP(AN87,#REF!,2,FALSE)))))</f>
        <v>#REF!</v>
      </c>
      <c r="AP87" s="217" t="s">
        <v>1977</v>
      </c>
      <c r="AQ87" s="218">
        <v>44930</v>
      </c>
      <c r="AR87" s="220" t="str">
        <f t="shared" ca="1" si="51"/>
        <v>DESATUALIZADA</v>
      </c>
      <c r="AS87" s="229">
        <v>18.39</v>
      </c>
      <c r="AT87" s="231">
        <v>1911</v>
      </c>
      <c r="AU87" s="206" t="e">
        <f>IF(AND(OR(AS87="",AS87=0),OR(AS87="",AT87=0)),"",IF(OR(AS87="",AS87=0),"DEFINIR PREÇO",IF(OR(AT87="",AT87=0),"DEFINIR FORNECEDOR",IF(OR(AS87&lt;&gt;"",AS87&lt;&gt;0),VLOOKUP(AT87,#REF!,2,FALSE)))))</f>
        <v>#REF!</v>
      </c>
      <c r="AV87" s="217" t="s">
        <v>1977</v>
      </c>
      <c r="AW87" s="218">
        <v>44930</v>
      </c>
      <c r="AX87" s="220" t="str">
        <f t="shared" ca="1" si="52"/>
        <v>DESATUALIZADA</v>
      </c>
      <c r="AY87" s="229"/>
      <c r="AZ87" s="234"/>
      <c r="BA87" s="209" t="str">
        <f>IF(AND(OR(AY87="",AY87=0),OR(AY87="",AZ87=0)),"",IF(OR(AY87="",AY87=0),"DEFINIR PREÇO",IF(OR(AZ87="",AZ87=0),"DEFINIR FORNECEDOR",IF(OR(AY87&lt;&gt;"",AY87&lt;&gt;0),VLOOKUP(AZ87,#REF!,2,FALSE)))))</f>
        <v/>
      </c>
      <c r="BB87" s="217"/>
      <c r="BC87" s="218"/>
      <c r="BD87" s="220" t="str">
        <f t="shared" ca="1" si="53"/>
        <v/>
      </c>
      <c r="BE87" s="195"/>
      <c r="BF87" s="196"/>
      <c r="BG87" s="194"/>
      <c r="BH87" s="192"/>
      <c r="BI87" s="192"/>
      <c r="BJ87" s="193"/>
    </row>
    <row r="88" spans="1:62" ht="90" x14ac:dyDescent="0.25">
      <c r="A88" s="44" t="s">
        <v>405</v>
      </c>
      <c r="B88" s="58" t="s">
        <v>315</v>
      </c>
      <c r="C88" s="45">
        <v>4</v>
      </c>
      <c r="D88" s="55" t="s">
        <v>255</v>
      </c>
      <c r="E88" s="45" t="s">
        <v>23</v>
      </c>
      <c r="F88" s="46" t="str">
        <f t="shared" si="60"/>
        <v>DEFINIR CRITÉRIO</v>
      </c>
      <c r="G88" s="47" t="str">
        <f t="shared" si="61"/>
        <v>DEFINIR CRITÉRIO</v>
      </c>
      <c r="H88" s="240" t="s">
        <v>2000</v>
      </c>
      <c r="I88" s="240" t="s">
        <v>2001</v>
      </c>
      <c r="J88" s="242" t="str">
        <f>IFERROR(IF(N88&lt;&gt;"",M88,IF(I88 = PARÂMETROS!$B$5,Q88, IF(I88 = PARÂMETROS!$B$6,R88,IF(I88 = PARÂMETROS!$B$7,S88,IF(I88 = PARÂMETROS!$B$8, T88,"DEFINIR CRITÉRIO"))))),"SEM PREÇO")</f>
        <v>DEFINIR CRITÉRIO</v>
      </c>
      <c r="K88" s="241" t="str">
        <f t="shared" si="42"/>
        <v/>
      </c>
      <c r="L88" s="238" t="str">
        <f t="shared" si="43"/>
        <v/>
      </c>
      <c r="M88" s="51"/>
      <c r="N88" s="52"/>
      <c r="O88" s="53"/>
      <c r="P88" s="235">
        <f t="shared" si="44"/>
        <v>1.56</v>
      </c>
      <c r="Q88" s="236">
        <f t="shared" si="45"/>
        <v>0</v>
      </c>
      <c r="R88" s="236">
        <f t="shared" si="46"/>
        <v>0</v>
      </c>
      <c r="S88" s="236">
        <f t="shared" si="47"/>
        <v>0</v>
      </c>
      <c r="T88" s="236">
        <f t="shared" si="48"/>
        <v>0</v>
      </c>
      <c r="U88" s="237" t="e">
        <f>IF(AA88 = "", "", IF(OR($H88 = PARÂMETROS!$E$5, $H88 = ""), AA88, IF(OR(AA88 &lt; (1-VLOOKUP($H88,PARÂMETROS!$E:$F,2,FALSE))*$P88, AA88 &gt; (1+VLOOKUP($H88,PARÂMETROS!$E:$F,2,FALSE))*$P88),"",AA88)))</f>
        <v>#N/A</v>
      </c>
      <c r="V88" s="237" t="e">
        <f>IF(AG88 = "", "", IF(OR($H88 = PARÂMETROS!$E$5, $H88 = ""), AG88, IF(OR(AG88 &lt; (1-VLOOKUP($H88,PARÂMETROS!$E:$F,2,FALSE))*$P93, AG88 &gt; (1+VLOOKUP($H88,PARÂMETROS!$E:$F,2,FALSE))*$P88),"",AG88)))</f>
        <v>#N/A</v>
      </c>
      <c r="W88" s="237" t="e">
        <f>IF(AM88 = "", "", IF(OR($H88 = PARÂMETROS!$E$5, $H88 = ""), AM88, IF(OR(AM88 &lt; (1-VLOOKUP($H88,PARÂMETROS!$E:$F,2,FALSE))*$P88, AM88 &gt; (1+VLOOKUP($H88,PARÂMETROS!$E:$F,2,FALSE))*$P88),"",AM88)))</f>
        <v>#N/A</v>
      </c>
      <c r="X88" s="237" t="e">
        <f>IF(AS88 = "", "", IF(OR($H88 = PARÂMETROS!$E$5, $H88 = ""), AS88, IF(OR(AS88 &lt; (1-VLOOKUP($H88,PARÂMETROS!$E:$F,2,FALSE))*$P88, AS88 &gt; (1+VLOOKUP($H88,PARÂMETROS!$E:$F,2,FALSE))*$P88),"",AS88)))</f>
        <v>#N/A</v>
      </c>
      <c r="Y88" s="237" t="e">
        <f>IF(AY88 = "", "", IF(OR($H88 = PARÂMETROS!$E$5, $H88 = ""), AY88, IF(OR(AY88 &lt; (1-VLOOKUP($H88,PARÂMETROS!$E:$F,2,FALSE))*$P88, AY88 &gt; (1+VLOOKUP($H88,PARÂMETROS!$E:$F,2,FALSE))*$P88),"",AY88)))</f>
        <v>#N/A</v>
      </c>
      <c r="Z88" s="237" t="str">
        <f>IF(BE88 = "", "", IF(OR($H88 = PARÂMETROS!$E$5, $H88 = ""), BE88, IF(OR(BE88 &lt; (1-VLOOKUP($H88,PARÂMETROS!$E:$F,2,FALSE))*$P88, BE88 &gt; (1+VLOOKUP($H88,PARÂMETROS!$E:$F,2,FALSE))*$P88),"",BE88)))</f>
        <v/>
      </c>
      <c r="AA88" s="207">
        <v>1.68</v>
      </c>
      <c r="AB88" s="208">
        <v>639</v>
      </c>
      <c r="AC88" s="206" t="e">
        <f>IF(AND(OR(AA88="",AA88=0),OR(AA88="",AB88=0)),"",IF(OR(AA88="",AA88=0),"DEFINIR PREÇO",IF(OR(AB88="",AB88=0),"DEFINIR FORNECEDOR",IF(OR(AA88&lt;&gt;"",AA88&lt;&gt;0),VLOOKUP(AB88,#REF!,2,FALSE)))))</f>
        <v>#REF!</v>
      </c>
      <c r="AD88" s="217" t="s">
        <v>1977</v>
      </c>
      <c r="AE88" s="218">
        <v>44936</v>
      </c>
      <c r="AF88" s="220" t="str">
        <f t="shared" ca="1" si="49"/>
        <v>DESATUALIZADA</v>
      </c>
      <c r="AG88" s="229">
        <v>1.25</v>
      </c>
      <c r="AH88" s="231">
        <v>676</v>
      </c>
      <c r="AI88" s="206" t="e">
        <f>IF(AND(OR(AG88="",AG88=0),OR(AG88="",AH88=0)),"",IF(OR(AG88="",AG88=0),"DEFINIR PREÇO",IF(OR(AH88="",AH88=0),"DEFINIR FORNECEDOR",IF(OR(AG88&lt;&gt;"",AG88&lt;&gt;0),VLOOKUP(AH88,#REF!,2,FALSE)))))</f>
        <v>#REF!</v>
      </c>
      <c r="AJ88" s="217" t="s">
        <v>1977</v>
      </c>
      <c r="AK88" s="218">
        <v>44936</v>
      </c>
      <c r="AL88" s="220" t="str">
        <f t="shared" ca="1" si="50"/>
        <v>DESATUALIZADA</v>
      </c>
      <c r="AM88" s="229">
        <v>3.9</v>
      </c>
      <c r="AN88" s="231">
        <v>2119</v>
      </c>
      <c r="AO88" s="206" t="e">
        <f>IF(AND(OR(AM88="",AM88=0),OR(AM88="",AN88=0)),"",IF(OR(AM88="",AM88=0),"DEFINIR PREÇO",IF(OR(AN88="",AN88=0),"DEFINIR FORNECEDOR",IF(OR(AM88&lt;&gt;"",AM88&lt;&gt;0),VLOOKUP(AN88,#REF!,2,FALSE)))))</f>
        <v>#REF!</v>
      </c>
      <c r="AP88" s="217" t="s">
        <v>1977</v>
      </c>
      <c r="AQ88" s="218">
        <v>44936</v>
      </c>
      <c r="AR88" s="220" t="str">
        <f t="shared" ca="1" si="51"/>
        <v>DESATUALIZADA</v>
      </c>
      <c r="AS88" s="229">
        <v>0.2</v>
      </c>
      <c r="AT88" s="231">
        <v>2216</v>
      </c>
      <c r="AU88" s="206" t="e">
        <f>IF(AND(OR(AS88="",AS88=0),OR(AS88="",AT88=0)),"",IF(OR(AS88="",AS88=0),"DEFINIR PREÇO",IF(OR(AT88="",AT88=0),"DEFINIR FORNECEDOR",IF(OR(AS88&lt;&gt;"",AS88&lt;&gt;0),VLOOKUP(AT88,#REF!,2,FALSE)))))</f>
        <v>#REF!</v>
      </c>
      <c r="AV88" s="217">
        <v>679</v>
      </c>
      <c r="AW88" s="218">
        <v>44945</v>
      </c>
      <c r="AX88" s="220" t="str">
        <f t="shared" ca="1" si="52"/>
        <v>DESATUALIZADA</v>
      </c>
      <c r="AY88" s="229">
        <v>0.77</v>
      </c>
      <c r="AZ88" s="231">
        <v>285</v>
      </c>
      <c r="BA88" s="209" t="e">
        <f>IF(AND(OR(AY88="",AY88=0),OR(AY88="",AZ88=0)),"",IF(OR(AY88="",AY88=0),"DEFINIR PREÇO",IF(OR(AZ88="",AZ88=0),"DEFINIR FORNECEDOR",IF(OR(AY88&lt;&gt;"",AY88&lt;&gt;0),VLOOKUP(AZ88,#REF!,2,FALSE)))))</f>
        <v>#REF!</v>
      </c>
      <c r="BB88" s="217" t="s">
        <v>1981</v>
      </c>
      <c r="BC88" s="218">
        <v>44945</v>
      </c>
      <c r="BD88" s="220" t="str">
        <f t="shared" ca="1" si="53"/>
        <v>DESATUALIZADA</v>
      </c>
      <c r="BE88" s="195"/>
      <c r="BF88" s="196"/>
      <c r="BG88" s="194"/>
      <c r="BH88" s="194"/>
      <c r="BI88" s="194"/>
      <c r="BJ88" s="197"/>
    </row>
    <row r="89" spans="1:62" ht="30" x14ac:dyDescent="0.25">
      <c r="A89" s="44" t="s">
        <v>405</v>
      </c>
      <c r="B89" s="58" t="s">
        <v>413</v>
      </c>
      <c r="C89" s="45">
        <v>4</v>
      </c>
      <c r="D89" s="55" t="s">
        <v>2070</v>
      </c>
      <c r="E89" s="45" t="s">
        <v>23</v>
      </c>
      <c r="F89" s="46" t="str">
        <f>J89</f>
        <v>DEFINIR CRITÉRIO</v>
      </c>
      <c r="G89" s="47" t="str">
        <f>J89</f>
        <v>DEFINIR CRITÉRIO</v>
      </c>
      <c r="H89" s="240" t="s">
        <v>2000</v>
      </c>
      <c r="I89" s="240" t="s">
        <v>2001</v>
      </c>
      <c r="J89" s="242" t="str">
        <f>IFERROR(IF(N89&lt;&gt;"",M89,IF(I89 = PARÂMETROS!$B$5,Q89, IF(I89 = PARÂMETROS!$B$6,R89,IF(I89 = PARÂMETROS!$B$7,S89,IF(I89 = PARÂMETROS!$B$8, T89,"DEFINIR CRITÉRIO"))))),"SEM PREÇO")</f>
        <v>DEFINIR CRITÉRIO</v>
      </c>
      <c r="K89" s="241" t="str">
        <f t="shared" si="42"/>
        <v/>
      </c>
      <c r="L89" s="238" t="str">
        <f t="shared" si="43"/>
        <v/>
      </c>
      <c r="M89" s="51"/>
      <c r="N89" s="52"/>
      <c r="O89" s="53"/>
      <c r="P89" s="235">
        <f t="shared" si="44"/>
        <v>220.84333333333333</v>
      </c>
      <c r="Q89" s="236">
        <f t="shared" si="45"/>
        <v>0</v>
      </c>
      <c r="R89" s="236">
        <f t="shared" si="46"/>
        <v>0</v>
      </c>
      <c r="S89" s="236">
        <f t="shared" si="47"/>
        <v>0</v>
      </c>
      <c r="T89" s="236">
        <f t="shared" si="48"/>
        <v>0</v>
      </c>
      <c r="U89" s="237" t="e">
        <f>IF(AA89 = "", "", IF(OR($H89 = PARÂMETROS!$E$5, $H89 = ""), AA89, IF(OR(AA89 &lt; (1-VLOOKUP($H89,PARÂMETROS!$E:$F,2,FALSE))*$P89, AA89 &gt; (1+VLOOKUP($H89,PARÂMETROS!$E:$F,2,FALSE))*$P89),"",AA89)))</f>
        <v>#N/A</v>
      </c>
      <c r="V89" s="237" t="e">
        <f>IF(AG89 = "", "", IF(OR($H89 = PARÂMETROS!$E$5, $H89 = ""), AG89, IF(OR(AG89 &lt; (1-VLOOKUP($H89,PARÂMETROS!$E:$F,2,FALSE))*$P94, AG89 &gt; (1+VLOOKUP($H89,PARÂMETROS!$E:$F,2,FALSE))*$P89),"",AG89)))</f>
        <v>#N/A</v>
      </c>
      <c r="W89" s="237" t="e">
        <f>IF(AM89 = "", "", IF(OR($H89 = PARÂMETROS!$E$5, $H89 = ""), AM89, IF(OR(AM89 &lt; (1-VLOOKUP($H89,PARÂMETROS!$E:$F,2,FALSE))*$P89, AM89 &gt; (1+VLOOKUP($H89,PARÂMETROS!$E:$F,2,FALSE))*$P89),"",AM89)))</f>
        <v>#N/A</v>
      </c>
      <c r="X89" s="237" t="str">
        <f>IF(AS89 = "", "", IF(OR($H89 = PARÂMETROS!$E$5, $H89 = ""), AS89, IF(OR(AS89 &lt; (1-VLOOKUP($H89,PARÂMETROS!$E:$F,2,FALSE))*$P89, AS89 &gt; (1+VLOOKUP($H89,PARÂMETROS!$E:$F,2,FALSE))*$P89),"",AS89)))</f>
        <v/>
      </c>
      <c r="Y89" s="237" t="str">
        <f>IF(AY89 = "", "", IF(OR($H89 = PARÂMETROS!$E$5, $H89 = ""), AY89, IF(OR(AY89 &lt; (1-VLOOKUP($H89,PARÂMETROS!$E:$F,2,FALSE))*$P89, AY89 &gt; (1+VLOOKUP($H89,PARÂMETROS!$E:$F,2,FALSE))*$P89),"",AY89)))</f>
        <v/>
      </c>
      <c r="Z89" s="237" t="str">
        <f>IF(BE89 = "", "", IF(OR($H89 = PARÂMETROS!$E$5, $H89 = ""), BE89, IF(OR(BE89 &lt; (1-VLOOKUP($H89,PARÂMETROS!$E:$F,2,FALSE))*$P89, BE89 &gt; (1+VLOOKUP($H89,PARÂMETROS!$E:$F,2,FALSE))*$P89),"",BE89)))</f>
        <v/>
      </c>
      <c r="AA89" s="207">
        <v>222.79</v>
      </c>
      <c r="AB89" s="208">
        <v>1028</v>
      </c>
      <c r="AC89" s="206" t="e">
        <f>IF(AND(OR(AA89="",AA89=0),OR(AA89="",AB89=0)),"",IF(OR(AA89="",AA89=0),"DEFINIR PREÇO",IF(OR(AB89="",AB89=0),"DEFINIR FORNECEDOR",IF(OR(AA89&lt;&gt;"",AA89&lt;&gt;0),VLOOKUP(AB89,#REF!,2,FALSE)))))</f>
        <v>#REF!</v>
      </c>
      <c r="AD89" s="217" t="s">
        <v>1977</v>
      </c>
      <c r="AE89" s="218">
        <v>44930</v>
      </c>
      <c r="AF89" s="220" t="str">
        <f t="shared" ca="1" si="49"/>
        <v>DESATUALIZADA</v>
      </c>
      <c r="AG89" s="229">
        <v>165</v>
      </c>
      <c r="AH89" s="231">
        <v>1728</v>
      </c>
      <c r="AI89" s="206" t="e">
        <f>IF(AND(OR(AG89="",AG89=0),OR(AG89="",AH89=0)),"",IF(OR(AG89="",AG89=0),"DEFINIR PREÇO",IF(OR(AH89="",AH89=0),"DEFINIR FORNECEDOR",IF(OR(AG89&lt;&gt;"",AG89&lt;&gt;0),VLOOKUP(AH89,#REF!,2,FALSE)))))</f>
        <v>#REF!</v>
      </c>
      <c r="AJ89" s="217" t="s">
        <v>1977</v>
      </c>
      <c r="AK89" s="218">
        <v>44930</v>
      </c>
      <c r="AL89" s="220" t="str">
        <f t="shared" ca="1" si="50"/>
        <v>DESATUALIZADA</v>
      </c>
      <c r="AM89" s="229">
        <v>274.74</v>
      </c>
      <c r="AN89" s="231">
        <v>646</v>
      </c>
      <c r="AO89" s="206" t="e">
        <f>IF(AND(OR(AM89="",AM89=0),OR(AM89="",AN89=0)),"",IF(OR(AM89="",AM89=0),"DEFINIR PREÇO",IF(OR(AN89="",AN89=0),"DEFINIR FORNECEDOR",IF(OR(AM89&lt;&gt;"",AM89&lt;&gt;0),VLOOKUP(AN89,#REF!,2,FALSE)))))</f>
        <v>#REF!</v>
      </c>
      <c r="AP89" s="217" t="s">
        <v>1977</v>
      </c>
      <c r="AQ89" s="218">
        <v>44930</v>
      </c>
      <c r="AR89" s="220" t="str">
        <f t="shared" ca="1" si="51"/>
        <v>DESATUALIZADA</v>
      </c>
      <c r="AS89" s="229"/>
      <c r="AT89" s="231"/>
      <c r="AU89" s="194"/>
      <c r="AV89" s="217"/>
      <c r="AW89" s="218"/>
      <c r="AX89" s="220" t="str">
        <f t="shared" ca="1" si="52"/>
        <v/>
      </c>
      <c r="AY89" s="229"/>
      <c r="AZ89" s="234"/>
      <c r="BA89" s="209" t="str">
        <f>IF(AND(OR(AY89="",AY89=0),OR(AY89="",AZ89=0)),"",IF(OR(AY89="",AY89=0),"DEFINIR PREÇO",IF(OR(AZ89="",AZ89=0),"DEFINIR FORNECEDOR",IF(OR(AY89&lt;&gt;"",AY89&lt;&gt;0),VLOOKUP(AZ89,#REF!,2,FALSE)))))</f>
        <v/>
      </c>
      <c r="BB89" s="217"/>
      <c r="BC89" s="218"/>
      <c r="BD89" s="220" t="str">
        <f t="shared" ca="1" si="53"/>
        <v/>
      </c>
      <c r="BE89" s="195"/>
      <c r="BF89" s="196"/>
      <c r="BG89" s="194"/>
      <c r="BH89" s="194"/>
      <c r="BI89" s="194"/>
      <c r="BJ89" s="197"/>
    </row>
    <row r="90" spans="1:62" x14ac:dyDescent="0.25">
      <c r="A90" s="44" t="s">
        <v>405</v>
      </c>
      <c r="B90" s="58" t="s">
        <v>261</v>
      </c>
      <c r="C90" s="45">
        <v>1</v>
      </c>
      <c r="D90" s="55" t="s">
        <v>262</v>
      </c>
      <c r="E90" s="45" t="s">
        <v>21</v>
      </c>
      <c r="F90" s="46" t="e">
        <f>VLOOKUP(B90,#REF!,7,FALSE)</f>
        <v>#REF!</v>
      </c>
      <c r="G90" s="47" t="e">
        <f>VLOOKUP(B90,#REF!,9,FALSE)</f>
        <v>#REF!</v>
      </c>
      <c r="H90" s="240" t="s">
        <v>2000</v>
      </c>
      <c r="I90" s="240" t="s">
        <v>2001</v>
      </c>
      <c r="J90" s="242" t="str">
        <f>IFERROR(IF(N90&lt;&gt;"",M90,IF(I90 = PARÂMETROS!$B$5,Q90, IF(I90 = PARÂMETROS!$B$6,R90,IF(I90 = PARÂMETROS!$B$7,S90,IF(I90 = PARÂMETROS!$B$8, T90,"DEFINIR CRITÉRIO"))))),"SEM PREÇO")</f>
        <v>SEM PREÇO</v>
      </c>
      <c r="K90" s="241">
        <f t="shared" si="42"/>
        <v>0</v>
      </c>
      <c r="L90" s="238" t="str">
        <f t="shared" si="43"/>
        <v/>
      </c>
      <c r="M90" s="51" t="e">
        <f>VLOOKUP(N90,#REF!,4,FALSE)</f>
        <v>#REF!</v>
      </c>
      <c r="N90" s="52" t="s">
        <v>1050</v>
      </c>
      <c r="O90" s="53" t="s">
        <v>422</v>
      </c>
      <c r="P90" s="235">
        <f t="shared" si="44"/>
        <v>0</v>
      </c>
      <c r="Q90" s="236">
        <f t="shared" si="45"/>
        <v>0</v>
      </c>
      <c r="R90" s="236">
        <f t="shared" si="46"/>
        <v>0</v>
      </c>
      <c r="S90" s="236">
        <f t="shared" si="47"/>
        <v>0</v>
      </c>
      <c r="T90" s="236">
        <f t="shared" si="48"/>
        <v>0</v>
      </c>
      <c r="U90" s="237" t="str">
        <f>IF(AA90 = "", "", IF(OR($H90 = PARÂMETROS!$E$5, $H90 = ""), AA90, IF(OR(AA90 &lt; (1-VLOOKUP($H90,PARÂMETROS!$E:$F,2,FALSE))*$P90, AA90 &gt; (1+VLOOKUP($H90,PARÂMETROS!$E:$F,2,FALSE))*$P90),"",AA90)))</f>
        <v/>
      </c>
      <c r="V90" s="237" t="str">
        <f>IF(AG90 = "", "", IF(OR($H90 = PARÂMETROS!$E$5, $H90 = ""), AG90, IF(OR(AG90 &lt; (1-VLOOKUP($H90,PARÂMETROS!$E:$F,2,FALSE))*$P95, AG90 &gt; (1+VLOOKUP($H90,PARÂMETROS!$E:$F,2,FALSE))*$P90),"",AG90)))</f>
        <v/>
      </c>
      <c r="W90" s="237" t="str">
        <f>IF(AM90 = "", "", IF(OR($H90 = PARÂMETROS!$E$5, $H90 = ""), AM90, IF(OR(AM90 &lt; (1-VLOOKUP($H90,PARÂMETROS!$E:$F,2,FALSE))*$P90, AM90 &gt; (1+VLOOKUP($H90,PARÂMETROS!$E:$F,2,FALSE))*$P90),"",AM90)))</f>
        <v/>
      </c>
      <c r="X90" s="237" t="str">
        <f>IF(AS90 = "", "", IF(OR($H90 = PARÂMETROS!$E$5, $H90 = ""), AS90, IF(OR(AS90 &lt; (1-VLOOKUP($H90,PARÂMETROS!$E:$F,2,FALSE))*$P90, AS90 &gt; (1+VLOOKUP($H90,PARÂMETROS!$E:$F,2,FALSE))*$P90),"",AS90)))</f>
        <v/>
      </c>
      <c r="Y90" s="237" t="str">
        <f>IF(AY90 = "", "", IF(OR($H90 = PARÂMETROS!$E$5, $H90 = ""), AY90, IF(OR(AY90 &lt; (1-VLOOKUP($H90,PARÂMETROS!$E:$F,2,FALSE))*$P90, AY90 &gt; (1+VLOOKUP($H90,PARÂMETROS!$E:$F,2,FALSE))*$P90),"",AY90)))</f>
        <v/>
      </c>
      <c r="Z90" s="237" t="str">
        <f>IF(BE90 = "", "", IF(OR($H90 = PARÂMETROS!$E$5, $H90 = ""), BE90, IF(OR(BE90 &lt; (1-VLOOKUP($H90,PARÂMETROS!$E:$F,2,FALSE))*$P90, BE90 &gt; (1+VLOOKUP($H90,PARÂMETROS!$E:$F,2,FALSE))*$P90),"",BE90)))</f>
        <v/>
      </c>
      <c r="AA90" s="207"/>
      <c r="AB90" s="208"/>
      <c r="AC90" s="206" t="str">
        <f>IF(AND(OR(AA90="",AA90=0),OR(AA90="",AB90=0)),"",IF(OR(AA90="",AA90=0),"DEFINIR PREÇO",IF(OR(AB90="",AB90=0),"DEFINIR FORNECEDOR",IF(OR(AA90&lt;&gt;"",AA90&lt;&gt;0),VLOOKUP(AB90,#REF!,2,FALSE)))))</f>
        <v/>
      </c>
      <c r="AD90" s="217"/>
      <c r="AE90" s="218"/>
      <c r="AF90" s="220" t="str">
        <f t="shared" ca="1" si="49"/>
        <v/>
      </c>
      <c r="AG90" s="229"/>
      <c r="AH90" s="231"/>
      <c r="AI90" s="206" t="str">
        <f>IF(AND(OR(AG90="",AG90=0),OR(AG90="",AH90=0)),"",IF(OR(AG90="",AG90=0),"DEFINIR PREÇO",IF(OR(AH90="",AH90=0),"DEFINIR FORNECEDOR",IF(OR(AG90&lt;&gt;"",AG90&lt;&gt;0),VLOOKUP(AH90,#REF!,2,FALSE)))))</f>
        <v/>
      </c>
      <c r="AJ90" s="217"/>
      <c r="AK90" s="218"/>
      <c r="AL90" s="220" t="str">
        <f t="shared" ca="1" si="50"/>
        <v/>
      </c>
      <c r="AM90" s="229"/>
      <c r="AN90" s="231"/>
      <c r="AO90" s="206" t="str">
        <f>IF(AND(OR(AM90="",AM90=0),OR(AM90="",AN90=0)),"",IF(OR(AM90="",AM90=0),"DEFINIR PREÇO",IF(OR(AN90="",AN90=0),"DEFINIR FORNECEDOR",IF(OR(AM90&lt;&gt;"",AM90&lt;&gt;0),VLOOKUP(AN90,#REF!,2,FALSE)))))</f>
        <v/>
      </c>
      <c r="AP90" s="217"/>
      <c r="AQ90" s="218"/>
      <c r="AR90" s="220" t="str">
        <f t="shared" ca="1" si="51"/>
        <v/>
      </c>
      <c r="AS90" s="229"/>
      <c r="AT90" s="231"/>
      <c r="AU90" s="194"/>
      <c r="AV90" s="217"/>
      <c r="AW90" s="218"/>
      <c r="AX90" s="220" t="str">
        <f t="shared" ca="1" si="52"/>
        <v/>
      </c>
      <c r="AY90" s="229"/>
      <c r="AZ90" s="234"/>
      <c r="BA90" s="209" t="str">
        <f>IF(AND(OR(AY90="",AY90=0),OR(AY90="",AZ90=0)),"",IF(OR(AY90="",AY90=0),"DEFINIR PREÇO",IF(OR(AZ90="",AZ90=0),"DEFINIR FORNECEDOR",IF(OR(AY90&lt;&gt;"",AY90&lt;&gt;0),VLOOKUP(AZ90,#REF!,2,FALSE)))))</f>
        <v/>
      </c>
      <c r="BB90" s="217"/>
      <c r="BC90" s="218"/>
      <c r="BD90" s="220" t="str">
        <f t="shared" ca="1" si="53"/>
        <v/>
      </c>
      <c r="BE90" s="195"/>
      <c r="BF90" s="196"/>
      <c r="BG90" s="194"/>
      <c r="BH90" s="194"/>
      <c r="BI90" s="194"/>
      <c r="BJ90" s="197"/>
    </row>
    <row r="91" spans="1:62" ht="30" x14ac:dyDescent="0.25">
      <c r="A91" s="44" t="s">
        <v>405</v>
      </c>
      <c r="B91" s="58" t="s">
        <v>311</v>
      </c>
      <c r="C91" s="45">
        <v>4</v>
      </c>
      <c r="D91" s="55" t="s">
        <v>258</v>
      </c>
      <c r="E91" s="45" t="s">
        <v>23</v>
      </c>
      <c r="F91" s="46" t="str">
        <f>J91</f>
        <v>DEFINIR CRITÉRIO</v>
      </c>
      <c r="G91" s="47" t="str">
        <f>J91</f>
        <v>DEFINIR CRITÉRIO</v>
      </c>
      <c r="H91" s="240" t="s">
        <v>2000</v>
      </c>
      <c r="I91" s="240" t="s">
        <v>2001</v>
      </c>
      <c r="J91" s="242" t="str">
        <f>IFERROR(IF(N91&lt;&gt;"",M91,IF(I91 = PARÂMETROS!$B$5,Q91, IF(I91 = PARÂMETROS!$B$6,R91,IF(I91 = PARÂMETROS!$B$7,S91,IF(I91 = PARÂMETROS!$B$8, T91,"DEFINIR CRITÉRIO"))))),"SEM PREÇO")</f>
        <v>DEFINIR CRITÉRIO</v>
      </c>
      <c r="K91" s="241" t="str">
        <f t="shared" si="42"/>
        <v/>
      </c>
      <c r="L91" s="238" t="str">
        <f t="shared" si="43"/>
        <v/>
      </c>
      <c r="M91" s="51"/>
      <c r="N91" s="52"/>
      <c r="O91" s="53"/>
      <c r="P91" s="235">
        <f t="shared" si="44"/>
        <v>96.566666666666677</v>
      </c>
      <c r="Q91" s="236">
        <f t="shared" si="45"/>
        <v>0</v>
      </c>
      <c r="R91" s="236">
        <f t="shared" si="46"/>
        <v>0</v>
      </c>
      <c r="S91" s="236">
        <f t="shared" si="47"/>
        <v>0</v>
      </c>
      <c r="T91" s="236">
        <f t="shared" si="48"/>
        <v>0</v>
      </c>
      <c r="U91" s="237" t="e">
        <f>IF(AA91 = "", "", IF(OR($H91 = PARÂMETROS!$E$5, $H91 = ""), AA91, IF(OR(AA91 &lt; (1-VLOOKUP($H91,PARÂMETROS!$E:$F,2,FALSE))*$P91, AA91 &gt; (1+VLOOKUP($H91,PARÂMETROS!$E:$F,2,FALSE))*$P91),"",AA91)))</f>
        <v>#N/A</v>
      </c>
      <c r="V91" s="237" t="e">
        <f>IF(AG91 = "", "", IF(OR($H91 = PARÂMETROS!$E$5, $H91 = ""), AG91, IF(OR(AG91 &lt; (1-VLOOKUP($H91,PARÂMETROS!$E:$F,2,FALSE))*$P96, AG91 &gt; (1+VLOOKUP($H91,PARÂMETROS!$E:$F,2,FALSE))*$P91),"",AG91)))</f>
        <v>#N/A</v>
      </c>
      <c r="W91" s="237" t="e">
        <f>IF(AM91 = "", "", IF(OR($H91 = PARÂMETROS!$E$5, $H91 = ""), AM91, IF(OR(AM91 &lt; (1-VLOOKUP($H91,PARÂMETROS!$E:$F,2,FALSE))*$P91, AM91 &gt; (1+VLOOKUP($H91,PARÂMETROS!$E:$F,2,FALSE))*$P91),"",AM91)))</f>
        <v>#N/A</v>
      </c>
      <c r="X91" s="237" t="str">
        <f>IF(AS91 = "", "", IF(OR($H91 = PARÂMETROS!$E$5, $H91 = ""), AS91, IF(OR(AS91 &lt; (1-VLOOKUP($H91,PARÂMETROS!$E:$F,2,FALSE))*$P91, AS91 &gt; (1+VLOOKUP($H91,PARÂMETROS!$E:$F,2,FALSE))*$P91),"",AS91)))</f>
        <v/>
      </c>
      <c r="Y91" s="237" t="str">
        <f>IF(AY91 = "", "", IF(OR($H91 = PARÂMETROS!$E$5, $H91 = ""), AY91, IF(OR(AY91 &lt; (1-VLOOKUP($H91,PARÂMETROS!$E:$F,2,FALSE))*$P91, AY91 &gt; (1+VLOOKUP($H91,PARÂMETROS!$E:$F,2,FALSE))*$P91),"",AY91)))</f>
        <v/>
      </c>
      <c r="Z91" s="237" t="str">
        <f>IF(BE91 = "", "", IF(OR($H91 = PARÂMETROS!$E$5, $H91 = ""), BE91, IF(OR(BE91 &lt; (1-VLOOKUP($H91,PARÂMETROS!$E:$F,2,FALSE))*$P91, BE91 &gt; (1+VLOOKUP($H91,PARÂMETROS!$E:$F,2,FALSE))*$P91),"",BE91)))</f>
        <v/>
      </c>
      <c r="AA91" s="207">
        <v>89.9</v>
      </c>
      <c r="AB91" s="208">
        <v>264</v>
      </c>
      <c r="AC91" s="206" t="e">
        <f>IF(AND(OR(AA91="",AA91=0),OR(AA91="",AB91=0)),"",IF(OR(AA91="",AA91=0),"DEFINIR PREÇO",IF(OR(AB91="",AB91=0),"DEFINIR FORNECEDOR",IF(OR(AA91&lt;&gt;"",AA91&lt;&gt;0),VLOOKUP(AB91,#REF!,2,FALSE)))))</f>
        <v>#REF!</v>
      </c>
      <c r="AD91" s="217" t="s">
        <v>1977</v>
      </c>
      <c r="AE91" s="218">
        <v>44935</v>
      </c>
      <c r="AF91" s="220" t="str">
        <f t="shared" ca="1" si="49"/>
        <v>DESATUALIZADA</v>
      </c>
      <c r="AG91" s="229">
        <v>119.9</v>
      </c>
      <c r="AH91" s="231">
        <v>748</v>
      </c>
      <c r="AI91" s="206" t="e">
        <f>IF(AND(OR(AG91="",AG91=0),OR(AG91="",AH91=0)),"",IF(OR(AG91="",AG91=0),"DEFINIR PREÇO",IF(OR(AH91="",AH91=0),"DEFINIR FORNECEDOR",IF(OR(AG91&lt;&gt;"",AG91&lt;&gt;0),VLOOKUP(AH91,#REF!,2,FALSE)))))</f>
        <v>#REF!</v>
      </c>
      <c r="AJ91" s="217" t="s">
        <v>1977</v>
      </c>
      <c r="AK91" s="218">
        <v>44935</v>
      </c>
      <c r="AL91" s="220" t="str">
        <f t="shared" ca="1" si="50"/>
        <v>DESATUALIZADA</v>
      </c>
      <c r="AM91" s="229">
        <v>79.900000000000006</v>
      </c>
      <c r="AN91" s="231">
        <v>2109</v>
      </c>
      <c r="AO91" s="206" t="e">
        <f>IF(AND(OR(AM91="",AM91=0),OR(AM91="",AN91=0)),"",IF(OR(AM91="",AM91=0),"DEFINIR PREÇO",IF(OR(AN91="",AN91=0),"DEFINIR FORNECEDOR",IF(OR(AM91&lt;&gt;"",AM91&lt;&gt;0),VLOOKUP(AN91,#REF!,2,FALSE)))))</f>
        <v>#REF!</v>
      </c>
      <c r="AP91" s="217" t="s">
        <v>1977</v>
      </c>
      <c r="AQ91" s="218">
        <v>44935</v>
      </c>
      <c r="AR91" s="220" t="str">
        <f t="shared" ca="1" si="51"/>
        <v>DESATUALIZADA</v>
      </c>
      <c r="AS91" s="229"/>
      <c r="AT91" s="231"/>
      <c r="AU91" s="194"/>
      <c r="AV91" s="217"/>
      <c r="AW91" s="218"/>
      <c r="AX91" s="220" t="str">
        <f t="shared" ca="1" si="52"/>
        <v/>
      </c>
      <c r="AY91" s="229"/>
      <c r="AZ91" s="234"/>
      <c r="BA91" s="209" t="str">
        <f>IF(AND(OR(AY91="",AY91=0),OR(AY91="",AZ91=0)),"",IF(OR(AY91="",AY91=0),"DEFINIR PREÇO",IF(OR(AZ91="",AZ91=0),"DEFINIR FORNECEDOR",IF(OR(AY91&lt;&gt;"",AY91&lt;&gt;0),VLOOKUP(AZ91,#REF!,2,FALSE)))))</f>
        <v/>
      </c>
      <c r="BB91" s="217"/>
      <c r="BC91" s="218"/>
      <c r="BD91" s="220" t="str">
        <f t="shared" ca="1" si="53"/>
        <v/>
      </c>
      <c r="BE91" s="195"/>
      <c r="BF91" s="196"/>
      <c r="BG91" s="194"/>
      <c r="BH91" s="194"/>
      <c r="BI91" s="194"/>
      <c r="BJ91" s="197"/>
    </row>
    <row r="92" spans="1:62" ht="45" x14ac:dyDescent="0.25">
      <c r="A92" s="44" t="s">
        <v>405</v>
      </c>
      <c r="B92" s="58" t="s">
        <v>197</v>
      </c>
      <c r="C92" s="45">
        <v>4</v>
      </c>
      <c r="D92" s="55" t="s">
        <v>187</v>
      </c>
      <c r="E92" s="45" t="s">
        <v>20</v>
      </c>
      <c r="F92" s="46" t="str">
        <f t="shared" ref="F92:F94" si="62">J92</f>
        <v>DEFINIR CRITÉRIO</v>
      </c>
      <c r="G92" s="47" t="str">
        <f t="shared" ref="G92:G94" si="63">J92</f>
        <v>DEFINIR CRITÉRIO</v>
      </c>
      <c r="H92" s="240" t="s">
        <v>2000</v>
      </c>
      <c r="I92" s="240" t="s">
        <v>2001</v>
      </c>
      <c r="J92" s="242" t="str">
        <f>IFERROR(IF(N92&lt;&gt;"",M92,IF(I92 = PARÂMETROS!$B$5,Q92, IF(I92 = PARÂMETROS!$B$6,R92,IF(I92 = PARÂMETROS!$B$7,S92,IF(I92 = PARÂMETROS!$B$8, T92,"DEFINIR CRITÉRIO"))))),"SEM PREÇO")</f>
        <v>DEFINIR CRITÉRIO</v>
      </c>
      <c r="K92" s="241" t="str">
        <f t="shared" si="42"/>
        <v/>
      </c>
      <c r="L92" s="238" t="str">
        <f t="shared" si="43"/>
        <v/>
      </c>
      <c r="M92" s="51"/>
      <c r="N92" s="52"/>
      <c r="O92" s="53"/>
      <c r="P92" s="235">
        <f t="shared" si="44"/>
        <v>317.65333333333336</v>
      </c>
      <c r="Q92" s="236">
        <f t="shared" si="45"/>
        <v>0</v>
      </c>
      <c r="R92" s="236">
        <f t="shared" si="46"/>
        <v>0</v>
      </c>
      <c r="S92" s="236">
        <f t="shared" si="47"/>
        <v>0</v>
      </c>
      <c r="T92" s="236">
        <f t="shared" si="48"/>
        <v>0</v>
      </c>
      <c r="U92" s="237" t="e">
        <f>IF(AA92 = "", "", IF(OR($H92 = PARÂMETROS!$E$5, $H92 = ""), AA92, IF(OR(AA92 &lt; (1-VLOOKUP($H92,PARÂMETROS!$E:$F,2,FALSE))*$P92, AA92 &gt; (1+VLOOKUP($H92,PARÂMETROS!$E:$F,2,FALSE))*$P92),"",AA92)))</f>
        <v>#N/A</v>
      </c>
      <c r="V92" s="237" t="e">
        <f>IF(AG92 = "", "", IF(OR($H92 = PARÂMETROS!$E$5, $H92 = ""), AG92, IF(OR(AG92 &lt; (1-VLOOKUP($H92,PARÂMETROS!$E:$F,2,FALSE))*$P97, AG92 &gt; (1+VLOOKUP($H92,PARÂMETROS!$E:$F,2,FALSE))*$P92),"",AG92)))</f>
        <v>#N/A</v>
      </c>
      <c r="W92" s="237" t="e">
        <f>IF(AM92 = "", "", IF(OR($H92 = PARÂMETROS!$E$5, $H92 = ""), AM92, IF(OR(AM92 &lt; (1-VLOOKUP($H92,PARÂMETROS!$E:$F,2,FALSE))*$P92, AM92 &gt; (1+VLOOKUP($H92,PARÂMETROS!$E:$F,2,FALSE))*$P92),"",AM92)))</f>
        <v>#N/A</v>
      </c>
      <c r="X92" s="237" t="str">
        <f>IF(AS92 = "", "", IF(OR($H92 = PARÂMETROS!$E$5, $H92 = ""), AS92, IF(OR(AS92 &lt; (1-VLOOKUP($H92,PARÂMETROS!$E:$F,2,FALSE))*$P92, AS92 &gt; (1+VLOOKUP($H92,PARÂMETROS!$E:$F,2,FALSE))*$P92),"",AS92)))</f>
        <v/>
      </c>
      <c r="Y92" s="237" t="str">
        <f>IF(AY92 = "", "", IF(OR($H92 = PARÂMETROS!$E$5, $H92 = ""), AY92, IF(OR(AY92 &lt; (1-VLOOKUP($H92,PARÂMETROS!$E:$F,2,FALSE))*$P92, AY92 &gt; (1+VLOOKUP($H92,PARÂMETROS!$E:$F,2,FALSE))*$P92),"",AY92)))</f>
        <v/>
      </c>
      <c r="Z92" s="237" t="str">
        <f>IF(BE92 = "", "", IF(OR($H92 = PARÂMETROS!$E$5, $H92 = ""), BE92, IF(OR(BE92 &lt; (1-VLOOKUP($H92,PARÂMETROS!$E:$F,2,FALSE))*$P92, BE92 &gt; (1+VLOOKUP($H92,PARÂMETROS!$E:$F,2,FALSE))*$P92),"",BE92)))</f>
        <v/>
      </c>
      <c r="AA92" s="207">
        <v>320.32</v>
      </c>
      <c r="AB92" s="208">
        <v>470</v>
      </c>
      <c r="AC92" s="206" t="e">
        <f>IF(AND(OR(AA92="",AA92=0),OR(AA92="",AB92=0)),"",IF(OR(AA92="",AA92=0),"DEFINIR PREÇO",IF(OR(AB92="",AB92=0),"DEFINIR FORNECEDOR",IF(OR(AA92&lt;&gt;"",AA92&lt;&gt;0),VLOOKUP(AB92,#REF!,2,FALSE)))))</f>
        <v>#REF!</v>
      </c>
      <c r="AD92" s="217" t="s">
        <v>1983</v>
      </c>
      <c r="AE92" s="218">
        <v>44943</v>
      </c>
      <c r="AF92" s="220" t="str">
        <f t="shared" ca="1" si="49"/>
        <v>DESATUALIZADA</v>
      </c>
      <c r="AG92" s="229">
        <v>245.43</v>
      </c>
      <c r="AH92" s="231">
        <v>478</v>
      </c>
      <c r="AI92" s="206" t="e">
        <f>IF(AND(OR(AG92="",AG92=0),OR(AG92="",AH92=0)),"",IF(OR(AG92="",AG92=0),"DEFINIR PREÇO",IF(OR(AH92="",AH92=0),"DEFINIR FORNECEDOR",IF(OR(AG92&lt;&gt;"",AG92&lt;&gt;0),VLOOKUP(AH92,#REF!,2,FALSE)))))</f>
        <v>#REF!</v>
      </c>
      <c r="AJ92" s="217" t="s">
        <v>2015</v>
      </c>
      <c r="AK92" s="218">
        <v>44943</v>
      </c>
      <c r="AL92" s="220" t="str">
        <f t="shared" ca="1" si="50"/>
        <v>DESATUALIZADA</v>
      </c>
      <c r="AM92" s="229">
        <v>387.21</v>
      </c>
      <c r="AN92" s="231">
        <v>472</v>
      </c>
      <c r="AO92" s="206" t="e">
        <f>IF(AND(OR(AM92="",AM92=0),OR(AM92="",AN92=0)),"",IF(OR(AM92="",AM92=0),"DEFINIR PREÇO",IF(OR(AN92="",AN92=0),"DEFINIR FORNECEDOR",IF(OR(AM92&lt;&gt;"",AM92&lt;&gt;0),VLOOKUP(AN92,#REF!,2,FALSE)))))</f>
        <v>#REF!</v>
      </c>
      <c r="AP92" s="217" t="s">
        <v>2018</v>
      </c>
      <c r="AQ92" s="218">
        <v>44951</v>
      </c>
      <c r="AR92" s="220" t="str">
        <f t="shared" ca="1" si="51"/>
        <v>DESATUALIZADA</v>
      </c>
      <c r="AS92" s="229"/>
      <c r="AT92" s="231"/>
      <c r="AU92" s="194"/>
      <c r="AV92" s="217"/>
      <c r="AW92" s="218"/>
      <c r="AX92" s="220" t="str">
        <f t="shared" ca="1" si="52"/>
        <v/>
      </c>
      <c r="AY92" s="229"/>
      <c r="AZ92" s="234"/>
      <c r="BA92" s="209" t="str">
        <f>IF(AND(OR(AY92="",AY92=0),OR(AY92="",AZ92=0)),"",IF(OR(AY92="",AY92=0),"DEFINIR PREÇO",IF(OR(AZ92="",AZ92=0),"DEFINIR FORNECEDOR",IF(OR(AY92&lt;&gt;"",AY92&lt;&gt;0),VLOOKUP(AZ92,#REF!,2,FALSE)))))</f>
        <v/>
      </c>
      <c r="BB92" s="217"/>
      <c r="BC92" s="218"/>
      <c r="BD92" s="220" t="str">
        <f t="shared" ca="1" si="53"/>
        <v/>
      </c>
      <c r="BE92" s="195"/>
      <c r="BF92" s="196"/>
      <c r="BG92" s="194"/>
      <c r="BH92" s="194"/>
      <c r="BI92" s="194"/>
      <c r="BJ92" s="197"/>
    </row>
    <row r="93" spans="1:62" ht="45" x14ac:dyDescent="0.25">
      <c r="A93" s="44" t="s">
        <v>405</v>
      </c>
      <c r="B93" s="58" t="s">
        <v>198</v>
      </c>
      <c r="C93" s="45">
        <v>4</v>
      </c>
      <c r="D93" s="55" t="s">
        <v>190</v>
      </c>
      <c r="E93" s="45" t="s">
        <v>20</v>
      </c>
      <c r="F93" s="46" t="str">
        <f t="shared" si="62"/>
        <v>DEFINIR CRITÉRIO</v>
      </c>
      <c r="G93" s="47" t="str">
        <f t="shared" si="63"/>
        <v>DEFINIR CRITÉRIO</v>
      </c>
      <c r="H93" s="240" t="s">
        <v>2000</v>
      </c>
      <c r="I93" s="240" t="s">
        <v>2001</v>
      </c>
      <c r="J93" s="242" t="str">
        <f>IFERROR(IF(N93&lt;&gt;"",M93,IF(I93 = PARÂMETROS!$B$5,Q93, IF(I93 = PARÂMETROS!$B$6,R93,IF(I93 = PARÂMETROS!$B$7,S93,IF(I93 = PARÂMETROS!$B$8, T93,"DEFINIR CRITÉRIO"))))),"SEM PREÇO")</f>
        <v>DEFINIR CRITÉRIO</v>
      </c>
      <c r="K93" s="241" t="str">
        <f t="shared" si="42"/>
        <v/>
      </c>
      <c r="L93" s="238" t="str">
        <f t="shared" si="43"/>
        <v/>
      </c>
      <c r="M93" s="51"/>
      <c r="N93" s="52"/>
      <c r="O93" s="53"/>
      <c r="P93" s="235">
        <f t="shared" si="44"/>
        <v>640.77333333333343</v>
      </c>
      <c r="Q93" s="236">
        <f t="shared" si="45"/>
        <v>0</v>
      </c>
      <c r="R93" s="236">
        <f t="shared" si="46"/>
        <v>0</v>
      </c>
      <c r="S93" s="236">
        <f t="shared" si="47"/>
        <v>0</v>
      </c>
      <c r="T93" s="236">
        <f t="shared" si="48"/>
        <v>0</v>
      </c>
      <c r="U93" s="237" t="e">
        <f>IF(AA93 = "", "", IF(OR($H93 = PARÂMETROS!$E$5, $H93 = ""), AA93, IF(OR(AA93 &lt; (1-VLOOKUP($H93,PARÂMETROS!$E:$F,2,FALSE))*$P93, AA93 &gt; (1+VLOOKUP($H93,PARÂMETROS!$E:$F,2,FALSE))*$P93),"",AA93)))</f>
        <v>#N/A</v>
      </c>
      <c r="V93" s="237" t="e">
        <f>IF(AG93 = "", "", IF(OR($H93 = PARÂMETROS!$E$5, $H93 = ""), AG93, IF(OR(AG93 &lt; (1-VLOOKUP($H93,PARÂMETROS!$E:$F,2,FALSE))*$P98, AG93 &gt; (1+VLOOKUP($H93,PARÂMETROS!$E:$F,2,FALSE))*$P93),"",AG93)))</f>
        <v>#N/A</v>
      </c>
      <c r="W93" s="237" t="e">
        <f>IF(AM93 = "", "", IF(OR($H93 = PARÂMETROS!$E$5, $H93 = ""), AM93, IF(OR(AM93 &lt; (1-VLOOKUP($H93,PARÂMETROS!$E:$F,2,FALSE))*$P93, AM93 &gt; (1+VLOOKUP($H93,PARÂMETROS!$E:$F,2,FALSE))*$P93),"",AM93)))</f>
        <v>#N/A</v>
      </c>
      <c r="X93" s="237" t="str">
        <f>IF(AS93 = "", "", IF(OR($H93 = PARÂMETROS!$E$5, $H93 = ""), AS93, IF(OR(AS93 &lt; (1-VLOOKUP($H93,PARÂMETROS!$E:$F,2,FALSE))*$P93, AS93 &gt; (1+VLOOKUP($H93,PARÂMETROS!$E:$F,2,FALSE))*$P93),"",AS93)))</f>
        <v/>
      </c>
      <c r="Y93" s="237" t="str">
        <f>IF(AY93 = "", "", IF(OR($H93 = PARÂMETROS!$E$5, $H93 = ""), AY93, IF(OR(AY93 &lt; (1-VLOOKUP($H93,PARÂMETROS!$E:$F,2,FALSE))*$P93, AY93 &gt; (1+VLOOKUP($H93,PARÂMETROS!$E:$F,2,FALSE))*$P93),"",AY93)))</f>
        <v/>
      </c>
      <c r="Z93" s="237" t="str">
        <f>IF(BE93 = "", "", IF(OR($H93 = PARÂMETROS!$E$5, $H93 = ""), BE93, IF(OR(BE93 &lt; (1-VLOOKUP($H93,PARÂMETROS!$E:$F,2,FALSE))*$P93, BE93 &gt; (1+VLOOKUP($H93,PARÂMETROS!$E:$F,2,FALSE))*$P93),"",BE93)))</f>
        <v/>
      </c>
      <c r="AA93" s="207">
        <v>644.66999999999996</v>
      </c>
      <c r="AB93" s="208">
        <v>470</v>
      </c>
      <c r="AC93" s="206" t="e">
        <f>IF(AND(OR(AA93="",AA93=0),OR(AA93="",AB93=0)),"",IF(OR(AA93="",AA93=0),"DEFINIR PREÇO",IF(OR(AB93="",AB93=0),"DEFINIR FORNECEDOR",IF(OR(AA93&lt;&gt;"",AA93&lt;&gt;0),VLOOKUP(AB93,#REF!,2,FALSE)))))</f>
        <v>#REF!</v>
      </c>
      <c r="AD93" s="217" t="s">
        <v>1983</v>
      </c>
      <c r="AE93" s="218">
        <v>44943</v>
      </c>
      <c r="AF93" s="220" t="str">
        <f t="shared" ca="1" si="49"/>
        <v>DESATUALIZADA</v>
      </c>
      <c r="AG93" s="229">
        <v>493.54</v>
      </c>
      <c r="AH93" s="231">
        <v>478</v>
      </c>
      <c r="AI93" s="206" t="e">
        <f>IF(AND(OR(AG93="",AG93=0),OR(AG93="",AH93=0)),"",IF(OR(AG93="",AG93=0),"DEFINIR PREÇO",IF(OR(AH93="",AH93=0),"DEFINIR FORNECEDOR",IF(OR(AG93&lt;&gt;"",AG93&lt;&gt;0),VLOOKUP(AH93,#REF!,2,FALSE)))))</f>
        <v>#REF!</v>
      </c>
      <c r="AJ93" s="217" t="s">
        <v>2015</v>
      </c>
      <c r="AK93" s="218">
        <v>44943</v>
      </c>
      <c r="AL93" s="220" t="str">
        <f t="shared" ca="1" si="50"/>
        <v>DESATUALIZADA</v>
      </c>
      <c r="AM93" s="229">
        <v>784.11</v>
      </c>
      <c r="AN93" s="231">
        <v>472</v>
      </c>
      <c r="AO93" s="206" t="e">
        <f>IF(AND(OR(AM93="",AM93=0),OR(AM93="",AN93=0)),"",IF(OR(AM93="",AM93=0),"DEFINIR PREÇO",IF(OR(AN93="",AN93=0),"DEFINIR FORNECEDOR",IF(OR(AM93&lt;&gt;"",AM93&lt;&gt;0),VLOOKUP(AN93,#REF!,2,FALSE)))))</f>
        <v>#REF!</v>
      </c>
      <c r="AP93" s="217" t="s">
        <v>2018</v>
      </c>
      <c r="AQ93" s="218">
        <v>44951</v>
      </c>
      <c r="AR93" s="220" t="str">
        <f t="shared" ca="1" si="51"/>
        <v>DESATUALIZADA</v>
      </c>
      <c r="AS93" s="229"/>
      <c r="AT93" s="231"/>
      <c r="AU93" s="194"/>
      <c r="AV93" s="217"/>
      <c r="AW93" s="218"/>
      <c r="AX93" s="220" t="str">
        <f t="shared" ca="1" si="52"/>
        <v/>
      </c>
      <c r="AY93" s="229"/>
      <c r="AZ93" s="234"/>
      <c r="BA93" s="209" t="str">
        <f>IF(AND(OR(AY93="",AY93=0),OR(AY93="",AZ93=0)),"",IF(OR(AY93="",AY93=0),"DEFINIR PREÇO",IF(OR(AZ93="",AZ93=0),"DEFINIR FORNECEDOR",IF(OR(AY93&lt;&gt;"",AY93&lt;&gt;0),VLOOKUP(AZ93,#REF!,2,FALSE)))))</f>
        <v/>
      </c>
      <c r="BB93" s="217"/>
      <c r="BC93" s="218"/>
      <c r="BD93" s="220" t="str">
        <f t="shared" ca="1" si="53"/>
        <v/>
      </c>
      <c r="BE93" s="195"/>
      <c r="BF93" s="196"/>
      <c r="BG93" s="194"/>
      <c r="BH93" s="194"/>
      <c r="BI93" s="194"/>
      <c r="BJ93" s="197"/>
    </row>
    <row r="94" spans="1:62" ht="45" x14ac:dyDescent="0.25">
      <c r="A94" s="44" t="s">
        <v>405</v>
      </c>
      <c r="B94" s="58" t="s">
        <v>200</v>
      </c>
      <c r="C94" s="45">
        <v>4</v>
      </c>
      <c r="D94" s="55" t="s">
        <v>194</v>
      </c>
      <c r="E94" s="45" t="s">
        <v>20</v>
      </c>
      <c r="F94" s="46" t="str">
        <f t="shared" si="62"/>
        <v>DEFINIR CRITÉRIO</v>
      </c>
      <c r="G94" s="47" t="str">
        <f t="shared" si="63"/>
        <v>DEFINIR CRITÉRIO</v>
      </c>
      <c r="H94" s="240" t="s">
        <v>2000</v>
      </c>
      <c r="I94" s="240" t="s">
        <v>2001</v>
      </c>
      <c r="J94" s="242" t="str">
        <f>IFERROR(IF(N94&lt;&gt;"",M94,IF(I94 = PARÂMETROS!$B$5,Q94, IF(I94 = PARÂMETROS!$B$6,R94,IF(I94 = PARÂMETROS!$B$7,S94,IF(I94 = PARÂMETROS!$B$8, T94,"DEFINIR CRITÉRIO"))))),"SEM PREÇO")</f>
        <v>DEFINIR CRITÉRIO</v>
      </c>
      <c r="K94" s="241" t="str">
        <f t="shared" si="42"/>
        <v/>
      </c>
      <c r="L94" s="238" t="str">
        <f t="shared" si="43"/>
        <v/>
      </c>
      <c r="M94" s="51"/>
      <c r="N94" s="52"/>
      <c r="O94" s="53"/>
      <c r="P94" s="235">
        <f t="shared" si="44"/>
        <v>1031.8433333333335</v>
      </c>
      <c r="Q94" s="236">
        <f t="shared" si="45"/>
        <v>0</v>
      </c>
      <c r="R94" s="236">
        <f t="shared" si="46"/>
        <v>0</v>
      </c>
      <c r="S94" s="236">
        <f t="shared" si="47"/>
        <v>0</v>
      </c>
      <c r="T94" s="236">
        <f t="shared" si="48"/>
        <v>0</v>
      </c>
      <c r="U94" s="237" t="e">
        <f>IF(AA94 = "", "", IF(OR($H94 = PARÂMETROS!$E$5, $H94 = ""), AA94, IF(OR(AA94 &lt; (1-VLOOKUP($H94,PARÂMETROS!$E:$F,2,FALSE))*$P94, AA94 &gt; (1+VLOOKUP($H94,PARÂMETROS!$E:$F,2,FALSE))*$P94),"",AA94)))</f>
        <v>#N/A</v>
      </c>
      <c r="V94" s="237" t="e">
        <f>IF(AG94 = "", "", IF(OR($H94 = PARÂMETROS!$E$5, $H94 = ""), AG94, IF(OR(AG94 &lt; (1-VLOOKUP($H94,PARÂMETROS!$E:$F,2,FALSE))*$P99, AG94 &gt; (1+VLOOKUP($H94,PARÂMETROS!$E:$F,2,FALSE))*$P94),"",AG94)))</f>
        <v>#N/A</v>
      </c>
      <c r="W94" s="237" t="e">
        <f>IF(AM94 = "", "", IF(OR($H94 = PARÂMETROS!$E$5, $H94 = ""), AM94, IF(OR(AM94 &lt; (1-VLOOKUP($H94,PARÂMETROS!$E:$F,2,FALSE))*$P94, AM94 &gt; (1+VLOOKUP($H94,PARÂMETROS!$E:$F,2,FALSE))*$P94),"",AM94)))</f>
        <v>#N/A</v>
      </c>
      <c r="X94" s="237" t="str">
        <f>IF(AS94 = "", "", IF(OR($H94 = PARÂMETROS!$E$5, $H94 = ""), AS94, IF(OR(AS94 &lt; (1-VLOOKUP($H94,PARÂMETROS!$E:$F,2,FALSE))*$P94, AS94 &gt; (1+VLOOKUP($H94,PARÂMETROS!$E:$F,2,FALSE))*$P94),"",AS94)))</f>
        <v/>
      </c>
      <c r="Y94" s="237" t="str">
        <f>IF(AY94 = "", "", IF(OR($H94 = PARÂMETROS!$E$5, $H94 = ""), AY94, IF(OR(AY94 &lt; (1-VLOOKUP($H94,PARÂMETROS!$E:$F,2,FALSE))*$P94, AY94 &gt; (1+VLOOKUP($H94,PARÂMETROS!$E:$F,2,FALSE))*$P94),"",AY94)))</f>
        <v/>
      </c>
      <c r="Z94" s="237" t="str">
        <f>IF(BE94 = "", "", IF(OR($H94 = PARÂMETROS!$E$5, $H94 = ""), BE94, IF(OR(BE94 &lt; (1-VLOOKUP($H94,PARÂMETROS!$E:$F,2,FALSE))*$P94, BE94 &gt; (1+VLOOKUP($H94,PARÂMETROS!$E:$F,2,FALSE))*$P94),"",BE94)))</f>
        <v/>
      </c>
      <c r="AA94" s="207">
        <v>1050.17</v>
      </c>
      <c r="AB94" s="208">
        <v>470</v>
      </c>
      <c r="AC94" s="206" t="e">
        <f>IF(AND(OR(AA94="",AA94=0),OR(AA94="",AB94=0)),"",IF(OR(AA94="",AA94=0),"DEFINIR PREÇO",IF(OR(AB94="",AB94=0),"DEFINIR FORNECEDOR",IF(OR(AA94&lt;&gt;"",AA94&lt;&gt;0),VLOOKUP(AB94,#REF!,2,FALSE)))))</f>
        <v>#REF!</v>
      </c>
      <c r="AD94" s="217" t="s">
        <v>1983</v>
      </c>
      <c r="AE94" s="218">
        <v>44943</v>
      </c>
      <c r="AF94" s="220" t="str">
        <f t="shared" ca="1" si="49"/>
        <v>DESATUALIZADA</v>
      </c>
      <c r="AG94" s="229">
        <v>789.94</v>
      </c>
      <c r="AH94" s="231">
        <v>478</v>
      </c>
      <c r="AI94" s="206" t="e">
        <f>IF(AND(OR(AG94="",AG94=0),OR(AG94="",AH94=0)),"",IF(OR(AG94="",AG94=0),"DEFINIR PREÇO",IF(OR(AH94="",AH94=0),"DEFINIR FORNECEDOR",IF(OR(AG94&lt;&gt;"",AG94&lt;&gt;0),VLOOKUP(AH94,#REF!,2,FALSE)))))</f>
        <v>#REF!</v>
      </c>
      <c r="AJ94" s="217" t="s">
        <v>2015</v>
      </c>
      <c r="AK94" s="218">
        <v>44943</v>
      </c>
      <c r="AL94" s="220" t="str">
        <f t="shared" ca="1" si="50"/>
        <v>DESATUALIZADA</v>
      </c>
      <c r="AM94" s="229">
        <v>1255.42</v>
      </c>
      <c r="AN94" s="231">
        <v>472</v>
      </c>
      <c r="AO94" s="206" t="e">
        <f>IF(AND(OR(AM94="",AM94=0),OR(AM94="",AN94=0)),"",IF(OR(AM94="",AM94=0),"DEFINIR PREÇO",IF(OR(AN94="",AN94=0),"DEFINIR FORNECEDOR",IF(OR(AM94&lt;&gt;"",AM94&lt;&gt;0),VLOOKUP(AN94,#REF!,2,FALSE)))))</f>
        <v>#REF!</v>
      </c>
      <c r="AP94" s="217" t="s">
        <v>2018</v>
      </c>
      <c r="AQ94" s="218">
        <v>44951</v>
      </c>
      <c r="AR94" s="220" t="str">
        <f t="shared" ca="1" si="51"/>
        <v>DESATUALIZADA</v>
      </c>
      <c r="AS94" s="229"/>
      <c r="AT94" s="231"/>
      <c r="AU94" s="194"/>
      <c r="AV94" s="217"/>
      <c r="AW94" s="218"/>
      <c r="AX94" s="220" t="str">
        <f t="shared" ca="1" si="52"/>
        <v/>
      </c>
      <c r="AY94" s="229"/>
      <c r="AZ94" s="234"/>
      <c r="BA94" s="209" t="str">
        <f>IF(AND(OR(AY94="",AY94=0),OR(AY94="",AZ94=0)),"",IF(OR(AY94="",AY94=0),"DEFINIR PREÇO",IF(OR(AZ94="",AZ94=0),"DEFINIR FORNECEDOR",IF(OR(AY94&lt;&gt;"",AY94&lt;&gt;0),VLOOKUP(AZ94,#REF!,2,FALSE)))))</f>
        <v/>
      </c>
      <c r="BB94" s="217"/>
      <c r="BC94" s="218"/>
      <c r="BD94" s="220" t="str">
        <f t="shared" ca="1" si="53"/>
        <v/>
      </c>
      <c r="BE94" s="195"/>
      <c r="BF94" s="196"/>
      <c r="BG94" s="194"/>
      <c r="BH94" s="194"/>
      <c r="BI94" s="194"/>
      <c r="BJ94" s="197"/>
    </row>
    <row r="95" spans="1:62" ht="38.25" x14ac:dyDescent="0.25">
      <c r="A95" s="44" t="s">
        <v>405</v>
      </c>
      <c r="B95" s="58" t="s">
        <v>264</v>
      </c>
      <c r="C95" s="45">
        <v>4</v>
      </c>
      <c r="D95" s="244" t="s">
        <v>259</v>
      </c>
      <c r="E95" s="45" t="s">
        <v>23</v>
      </c>
      <c r="F95" s="46">
        <f t="shared" ref="F95:F100" si="64">J95</f>
        <v>15.957144</v>
      </c>
      <c r="G95" s="47">
        <f t="shared" ref="G95:G100" si="65">J95</f>
        <v>15.957144</v>
      </c>
      <c r="H95" s="240" t="s">
        <v>2000</v>
      </c>
      <c r="I95" s="240" t="s">
        <v>2001</v>
      </c>
      <c r="J95" s="242">
        <f>IFERROR(IF(N95&lt;&gt;"",M95,IF(I95 = PARÂMETROS!$B$5,Q95, IF(I95 = PARÂMETROS!$B$6,R95,IF(I95 = PARÂMETROS!$B$7,S95,IF(I95 = PARÂMETROS!$B$8, T95,"DEFINIR CRITÉRIO"))))),"SEM PREÇO")</f>
        <v>15.957144</v>
      </c>
      <c r="K95" s="241">
        <f t="shared" si="42"/>
        <v>0</v>
      </c>
      <c r="L95" s="238" t="str">
        <f t="shared" si="43"/>
        <v/>
      </c>
      <c r="M95" s="51">
        <f>1.139796*14</f>
        <v>15.957144</v>
      </c>
      <c r="N95" s="52" t="s">
        <v>1354</v>
      </c>
      <c r="O95" s="53" t="s">
        <v>405</v>
      </c>
      <c r="P95" s="235">
        <f t="shared" si="44"/>
        <v>0</v>
      </c>
      <c r="Q95" s="236">
        <f t="shared" si="45"/>
        <v>0</v>
      </c>
      <c r="R95" s="236">
        <f t="shared" si="46"/>
        <v>0</v>
      </c>
      <c r="S95" s="236">
        <f t="shared" si="47"/>
        <v>0</v>
      </c>
      <c r="T95" s="236">
        <f t="shared" si="48"/>
        <v>0</v>
      </c>
      <c r="U95" s="237" t="str">
        <f>IF(AA95 = "", "", IF(OR($H95 = PARÂMETROS!$E$5, $H95 = ""), AA95, IF(OR(AA95 &lt; (1-VLOOKUP($H95,PARÂMETROS!$E:$F,2,FALSE))*$P95, AA95 &gt; (1+VLOOKUP($H95,PARÂMETROS!$E:$F,2,FALSE))*$P95),"",AA95)))</f>
        <v/>
      </c>
      <c r="V95" s="237" t="str">
        <f>IF(AG95 = "", "", IF(OR($H95 = PARÂMETROS!$E$5, $H95 = ""), AG95, IF(OR(AG95 &lt; (1-VLOOKUP($H95,PARÂMETROS!$E:$F,2,FALSE))*$P100, AG95 &gt; (1+VLOOKUP($H95,PARÂMETROS!$E:$F,2,FALSE))*$P95),"",AG95)))</f>
        <v/>
      </c>
      <c r="W95" s="237" t="str">
        <f>IF(AM95 = "", "", IF(OR($H95 = PARÂMETROS!$E$5, $H95 = ""), AM95, IF(OR(AM95 &lt; (1-VLOOKUP($H95,PARÂMETROS!$E:$F,2,FALSE))*$P95, AM95 &gt; (1+VLOOKUP($H95,PARÂMETROS!$E:$F,2,FALSE))*$P95),"",AM95)))</f>
        <v/>
      </c>
      <c r="X95" s="237" t="str">
        <f>IF(AS95 = "", "", IF(OR($H95 = PARÂMETROS!$E$5, $H95 = ""), AS95, IF(OR(AS95 &lt; (1-VLOOKUP($H95,PARÂMETROS!$E:$F,2,FALSE))*$P95, AS95 &gt; (1+VLOOKUP($H95,PARÂMETROS!$E:$F,2,FALSE))*$P95),"",AS95)))</f>
        <v/>
      </c>
      <c r="Y95" s="237" t="str">
        <f>IF(AY95 = "", "", IF(OR($H95 = PARÂMETROS!$E$5, $H95 = ""), AY95, IF(OR(AY95 &lt; (1-VLOOKUP($H95,PARÂMETROS!$E:$F,2,FALSE))*$P95, AY95 &gt; (1+VLOOKUP($H95,PARÂMETROS!$E:$F,2,FALSE))*$P95),"",AY95)))</f>
        <v/>
      </c>
      <c r="Z95" s="237" t="str">
        <f>IF(BE95 = "", "", IF(OR($H95 = PARÂMETROS!$E$5, $H95 = ""), BE95, IF(OR(BE95 &lt; (1-VLOOKUP($H95,PARÂMETROS!$E:$F,2,FALSE))*$P95, BE95 &gt; (1+VLOOKUP($H95,PARÂMETROS!$E:$F,2,FALSE))*$P95),"",BE95)))</f>
        <v/>
      </c>
      <c r="AA95" s="207"/>
      <c r="AB95" s="208"/>
      <c r="AC95" s="206" t="str">
        <f>IF(AND(OR(AA95="",AA95=0),OR(AA95="",AB95=0)),"",IF(OR(AA95="",AA95=0),"DEFINIR PREÇO",IF(OR(AB95="",AB95=0),"DEFINIR FORNECEDOR",IF(OR(AA95&lt;&gt;"",AA95&lt;&gt;0),VLOOKUP(AB95,#REF!,2,FALSE)))))</f>
        <v/>
      </c>
      <c r="AD95" s="217"/>
      <c r="AE95" s="218"/>
      <c r="AF95" s="220" t="str">
        <f t="shared" ca="1" si="49"/>
        <v/>
      </c>
      <c r="AG95" s="229"/>
      <c r="AH95" s="231"/>
      <c r="AI95" s="206" t="str">
        <f>IF(AND(OR(AG95="",AG95=0),OR(AG95="",AH95=0)),"",IF(OR(AG95="",AG95=0),"DEFINIR PREÇO",IF(OR(AH95="",AH95=0),"DEFINIR FORNECEDOR",IF(OR(AG95&lt;&gt;"",AG95&lt;&gt;0),VLOOKUP(AH95,#REF!,2,FALSE)))))</f>
        <v/>
      </c>
      <c r="AJ95" s="217"/>
      <c r="AK95" s="218"/>
      <c r="AL95" s="220" t="str">
        <f t="shared" ca="1" si="50"/>
        <v/>
      </c>
      <c r="AM95" s="229"/>
      <c r="AN95" s="231"/>
      <c r="AO95" s="206" t="str">
        <f>IF(AND(OR(AM95="",AM95=0),OR(AM95="",AN95=0)),"",IF(OR(AM95="",AM95=0),"DEFINIR PREÇO",IF(OR(AN95="",AN95=0),"DEFINIR FORNECEDOR",IF(OR(AM95&lt;&gt;"",AM95&lt;&gt;0),VLOOKUP(AN95,#REF!,2,FALSE)))))</f>
        <v/>
      </c>
      <c r="AP95" s="217"/>
      <c r="AQ95" s="218"/>
      <c r="AR95" s="220" t="str">
        <f t="shared" ca="1" si="51"/>
        <v/>
      </c>
      <c r="AS95" s="229"/>
      <c r="AT95" s="231"/>
      <c r="AU95" s="194"/>
      <c r="AV95" s="217"/>
      <c r="AW95" s="218"/>
      <c r="AX95" s="220" t="str">
        <f t="shared" ca="1" si="52"/>
        <v/>
      </c>
      <c r="AY95" s="229"/>
      <c r="AZ95" s="234"/>
      <c r="BA95" s="209" t="str">
        <f>IF(AND(OR(AY95="",AY95=0),OR(AY95="",AZ95=0)),"",IF(OR(AY95="",AY95=0),"DEFINIR PREÇO",IF(OR(AZ95="",AZ95=0),"DEFINIR FORNECEDOR",IF(OR(AY95&lt;&gt;"",AY95&lt;&gt;0),VLOOKUP(AZ95,#REF!,2,FALSE)))))</f>
        <v/>
      </c>
      <c r="BB95" s="217"/>
      <c r="BC95" s="218"/>
      <c r="BD95" s="220" t="str">
        <f t="shared" ca="1" si="53"/>
        <v/>
      </c>
      <c r="BE95" s="195"/>
      <c r="BF95" s="196"/>
      <c r="BG95" s="194"/>
      <c r="BH95" s="194"/>
      <c r="BI95" s="194"/>
      <c r="BJ95" s="197"/>
    </row>
    <row r="96" spans="1:62" ht="66.75" customHeight="1" x14ac:dyDescent="0.25">
      <c r="A96" s="44" t="s">
        <v>405</v>
      </c>
      <c r="B96" s="58" t="s">
        <v>266</v>
      </c>
      <c r="C96" s="45">
        <v>4</v>
      </c>
      <c r="D96" s="244" t="s">
        <v>260</v>
      </c>
      <c r="E96" s="45" t="s">
        <v>23</v>
      </c>
      <c r="F96" s="46">
        <f t="shared" si="64"/>
        <v>15.957144</v>
      </c>
      <c r="G96" s="47">
        <f t="shared" si="65"/>
        <v>15.957144</v>
      </c>
      <c r="H96" s="240" t="s">
        <v>2000</v>
      </c>
      <c r="I96" s="240" t="s">
        <v>2001</v>
      </c>
      <c r="J96" s="242">
        <f>IFERROR(IF(N96&lt;&gt;"",M96,IF(I96 = PARÂMETROS!$B$5,Q96, IF(I96 = PARÂMETROS!$B$6,R96,IF(I96 = PARÂMETROS!$B$7,S96,IF(I96 = PARÂMETROS!$B$8, T96,"DEFINIR CRITÉRIO"))))),"SEM PREÇO")</f>
        <v>15.957144</v>
      </c>
      <c r="K96" s="241">
        <f t="shared" si="42"/>
        <v>0</v>
      </c>
      <c r="L96" s="238" t="str">
        <f t="shared" si="43"/>
        <v/>
      </c>
      <c r="M96" s="51">
        <f t="shared" ref="M96:M97" si="66">1.139796*14</f>
        <v>15.957144</v>
      </c>
      <c r="N96" s="52" t="s">
        <v>1354</v>
      </c>
      <c r="O96" s="53" t="s">
        <v>405</v>
      </c>
      <c r="P96" s="235">
        <f t="shared" si="44"/>
        <v>0</v>
      </c>
      <c r="Q96" s="236">
        <f t="shared" si="45"/>
        <v>0</v>
      </c>
      <c r="R96" s="236">
        <f t="shared" si="46"/>
        <v>0</v>
      </c>
      <c r="S96" s="236">
        <f t="shared" si="47"/>
        <v>0</v>
      </c>
      <c r="T96" s="236">
        <f t="shared" si="48"/>
        <v>0</v>
      </c>
      <c r="U96" s="237" t="str">
        <f>IF(AA96 = "", "", IF(OR($H96 = PARÂMETROS!$E$5, $H96 = ""), AA96, IF(OR(AA96 &lt; (1-VLOOKUP($H96,PARÂMETROS!$E:$F,2,FALSE))*$P96, AA96 &gt; (1+VLOOKUP($H96,PARÂMETROS!$E:$F,2,FALSE))*$P96),"",AA96)))</f>
        <v/>
      </c>
      <c r="V96" s="237" t="str">
        <f>IF(AG96 = "", "", IF(OR($H96 = PARÂMETROS!$E$5, $H96 = ""), AG96, IF(OR(AG96 &lt; (1-VLOOKUP($H96,PARÂMETROS!$E:$F,2,FALSE))*$P101, AG96 &gt; (1+VLOOKUP($H96,PARÂMETROS!$E:$F,2,FALSE))*$P96),"",AG96)))</f>
        <v/>
      </c>
      <c r="W96" s="237" t="str">
        <f>IF(AM96 = "", "", IF(OR($H96 = PARÂMETROS!$E$5, $H96 = ""), AM96, IF(OR(AM96 &lt; (1-VLOOKUP($H96,PARÂMETROS!$E:$F,2,FALSE))*$P96, AM96 &gt; (1+VLOOKUP($H96,PARÂMETROS!$E:$F,2,FALSE))*$P96),"",AM96)))</f>
        <v/>
      </c>
      <c r="X96" s="237" t="str">
        <f>IF(AS96 = "", "", IF(OR($H96 = PARÂMETROS!$E$5, $H96 = ""), AS96, IF(OR(AS96 &lt; (1-VLOOKUP($H96,PARÂMETROS!$E:$F,2,FALSE))*$P96, AS96 &gt; (1+VLOOKUP($H96,PARÂMETROS!$E:$F,2,FALSE))*$P96),"",AS96)))</f>
        <v/>
      </c>
      <c r="Y96" s="237" t="str">
        <f>IF(AY96 = "", "", IF(OR($H96 = PARÂMETROS!$E$5, $H96 = ""), AY96, IF(OR(AY96 &lt; (1-VLOOKUP($H96,PARÂMETROS!$E:$F,2,FALSE))*$P96, AY96 &gt; (1+VLOOKUP($H96,PARÂMETROS!$E:$F,2,FALSE))*$P96),"",AY96)))</f>
        <v/>
      </c>
      <c r="Z96" s="237" t="str">
        <f>IF(BE96 = "", "", IF(OR($H96 = PARÂMETROS!$E$5, $H96 = ""), BE96, IF(OR(BE96 &lt; (1-VLOOKUP($H96,PARÂMETROS!$E:$F,2,FALSE))*$P96, BE96 &gt; (1+VLOOKUP($H96,PARÂMETROS!$E:$F,2,FALSE))*$P96),"",BE96)))</f>
        <v/>
      </c>
      <c r="AA96" s="207"/>
      <c r="AB96" s="208"/>
      <c r="AC96" s="206" t="str">
        <f>IF(AND(OR(AA96="",AA96=0),OR(AA96="",AB96=0)),"",IF(OR(AA96="",AA96=0),"DEFINIR PREÇO",IF(OR(AB96="",AB96=0),"DEFINIR FORNECEDOR",IF(OR(AA96&lt;&gt;"",AA96&lt;&gt;0),VLOOKUP(AB96,#REF!,2,FALSE)))))</f>
        <v/>
      </c>
      <c r="AD96" s="217"/>
      <c r="AE96" s="218"/>
      <c r="AF96" s="220" t="str">
        <f t="shared" ca="1" si="49"/>
        <v/>
      </c>
      <c r="AG96" s="229"/>
      <c r="AH96" s="231"/>
      <c r="AI96" s="206" t="str">
        <f>IF(AND(OR(AG96="",AG96=0),OR(AG96="",AH96=0)),"",IF(OR(AG96="",AG96=0),"DEFINIR PREÇO",IF(OR(AH96="",AH96=0),"DEFINIR FORNECEDOR",IF(OR(AG96&lt;&gt;"",AG96&lt;&gt;0),VLOOKUP(AH96,#REF!,2,FALSE)))))</f>
        <v/>
      </c>
      <c r="AJ96" s="217"/>
      <c r="AK96" s="218"/>
      <c r="AL96" s="220" t="str">
        <f t="shared" ca="1" si="50"/>
        <v/>
      </c>
      <c r="AM96" s="229"/>
      <c r="AN96" s="231"/>
      <c r="AO96" s="206" t="str">
        <f>IF(AND(OR(AM96="",AM96=0),OR(AM96="",AN96=0)),"",IF(OR(AM96="",AM96=0),"DEFINIR PREÇO",IF(OR(AN96="",AN96=0),"DEFINIR FORNECEDOR",IF(OR(AM96&lt;&gt;"",AM96&lt;&gt;0),VLOOKUP(AN96,#REF!,2,FALSE)))))</f>
        <v/>
      </c>
      <c r="AP96" s="217"/>
      <c r="AQ96" s="218"/>
      <c r="AR96" s="220" t="str">
        <f t="shared" ca="1" si="51"/>
        <v/>
      </c>
      <c r="AS96" s="229"/>
      <c r="AT96" s="231"/>
      <c r="AU96" s="194"/>
      <c r="AV96" s="217"/>
      <c r="AW96" s="218"/>
      <c r="AX96" s="220" t="str">
        <f t="shared" ca="1" si="52"/>
        <v/>
      </c>
      <c r="AY96" s="229"/>
      <c r="AZ96" s="234"/>
      <c r="BA96" s="209" t="str">
        <f>IF(AND(OR(AY96="",AY96=0),OR(AY96="",AZ96=0)),"",IF(OR(AY96="",AY96=0),"DEFINIR PREÇO",IF(OR(AZ96="",AZ96=0),"DEFINIR FORNECEDOR",IF(OR(AY96&lt;&gt;"",AY96&lt;&gt;0),VLOOKUP(AZ96,#REF!,2,FALSE)))))</f>
        <v/>
      </c>
      <c r="BB96" s="217"/>
      <c r="BC96" s="218"/>
      <c r="BD96" s="220" t="str">
        <f t="shared" ca="1" si="53"/>
        <v/>
      </c>
      <c r="BE96" s="195"/>
      <c r="BF96" s="196"/>
      <c r="BG96" s="194"/>
      <c r="BH96" s="194"/>
      <c r="BI96" s="194"/>
      <c r="BJ96" s="197"/>
    </row>
    <row r="97" spans="1:62" ht="66" customHeight="1" x14ac:dyDescent="0.25">
      <c r="A97" s="44" t="s">
        <v>405</v>
      </c>
      <c r="B97" s="58" t="s">
        <v>263</v>
      </c>
      <c r="C97" s="45">
        <v>4</v>
      </c>
      <c r="D97" s="244" t="s">
        <v>257</v>
      </c>
      <c r="E97" s="45" t="s">
        <v>23</v>
      </c>
      <c r="F97" s="46">
        <f t="shared" si="64"/>
        <v>15.957144</v>
      </c>
      <c r="G97" s="47">
        <f t="shared" si="65"/>
        <v>15.957144</v>
      </c>
      <c r="H97" s="240" t="s">
        <v>2000</v>
      </c>
      <c r="I97" s="240" t="s">
        <v>2001</v>
      </c>
      <c r="J97" s="242">
        <f>IFERROR(IF(N97&lt;&gt;"",M97,IF(I97 = PARÂMETROS!$B$5,Q97, IF(I97 = PARÂMETROS!$B$6,R97,IF(I97 = PARÂMETROS!$B$7,S97,IF(I97 = PARÂMETROS!$B$8, T97,"DEFINIR CRITÉRIO"))))),"SEM PREÇO")</f>
        <v>15.957144</v>
      </c>
      <c r="K97" s="241">
        <f t="shared" si="42"/>
        <v>0</v>
      </c>
      <c r="L97" s="238" t="str">
        <f t="shared" si="43"/>
        <v/>
      </c>
      <c r="M97" s="51">
        <f t="shared" si="66"/>
        <v>15.957144</v>
      </c>
      <c r="N97" s="52" t="s">
        <v>1354</v>
      </c>
      <c r="O97" s="53" t="s">
        <v>405</v>
      </c>
      <c r="P97" s="235">
        <f t="shared" si="44"/>
        <v>0</v>
      </c>
      <c r="Q97" s="236">
        <f t="shared" si="45"/>
        <v>0</v>
      </c>
      <c r="R97" s="236">
        <f t="shared" si="46"/>
        <v>0</v>
      </c>
      <c r="S97" s="236">
        <f t="shared" si="47"/>
        <v>0</v>
      </c>
      <c r="T97" s="236">
        <f t="shared" si="48"/>
        <v>0</v>
      </c>
      <c r="U97" s="237" t="str">
        <f>IF(AA97 = "", "", IF(OR($H97 = PARÂMETROS!$E$5, $H97 = ""), AA97, IF(OR(AA97 &lt; (1-VLOOKUP($H97,PARÂMETROS!$E:$F,2,FALSE))*$P97, AA97 &gt; (1+VLOOKUP($H97,PARÂMETROS!$E:$F,2,FALSE))*$P97),"",AA97)))</f>
        <v/>
      </c>
      <c r="V97" s="237" t="str">
        <f>IF(AG97 = "", "", IF(OR($H97 = PARÂMETROS!$E$5, $H97 = ""), AG97, IF(OR(AG97 &lt; (1-VLOOKUP($H97,PARÂMETROS!$E:$F,2,FALSE))*$P102, AG97 &gt; (1+VLOOKUP($H97,PARÂMETROS!$E:$F,2,FALSE))*$P97),"",AG97)))</f>
        <v/>
      </c>
      <c r="W97" s="237" t="str">
        <f>IF(AM97 = "", "", IF(OR($H97 = PARÂMETROS!$E$5, $H97 = ""), AM97, IF(OR(AM97 &lt; (1-VLOOKUP($H97,PARÂMETROS!$E:$F,2,FALSE))*$P97, AM97 &gt; (1+VLOOKUP($H97,PARÂMETROS!$E:$F,2,FALSE))*$P97),"",AM97)))</f>
        <v/>
      </c>
      <c r="X97" s="237" t="str">
        <f>IF(AS97 = "", "", IF(OR($H97 = PARÂMETROS!$E$5, $H97 = ""), AS97, IF(OR(AS97 &lt; (1-VLOOKUP($H97,PARÂMETROS!$E:$F,2,FALSE))*$P97, AS97 &gt; (1+VLOOKUP($H97,PARÂMETROS!$E:$F,2,FALSE))*$P97),"",AS97)))</f>
        <v/>
      </c>
      <c r="Y97" s="237" t="str">
        <f>IF(AY97 = "", "", IF(OR($H97 = PARÂMETROS!$E$5, $H97 = ""), AY97, IF(OR(AY97 &lt; (1-VLOOKUP($H97,PARÂMETROS!$E:$F,2,FALSE))*$P97, AY97 &gt; (1+VLOOKUP($H97,PARÂMETROS!$E:$F,2,FALSE))*$P97),"",AY97)))</f>
        <v/>
      </c>
      <c r="Z97" s="237" t="str">
        <f>IF(BE97 = "", "", IF(OR($H97 = PARÂMETROS!$E$5, $H97 = ""), BE97, IF(OR(BE97 &lt; (1-VLOOKUP($H97,PARÂMETROS!$E:$F,2,FALSE))*$P97, BE97 &gt; (1+VLOOKUP($H97,PARÂMETROS!$E:$F,2,FALSE))*$P97),"",BE97)))</f>
        <v/>
      </c>
      <c r="AA97" s="207"/>
      <c r="AB97" s="208"/>
      <c r="AC97" s="206" t="str">
        <f>IF(AND(OR(AA97="",AA97=0),OR(AA97="",AB97=0)),"",IF(OR(AA97="",AA97=0),"DEFINIR PREÇO",IF(OR(AB97="",AB97=0),"DEFINIR FORNECEDOR",IF(OR(AA97&lt;&gt;"",AA97&lt;&gt;0),VLOOKUP(AB97,#REF!,2,FALSE)))))</f>
        <v/>
      </c>
      <c r="AD97" s="217"/>
      <c r="AE97" s="218"/>
      <c r="AF97" s="220" t="str">
        <f t="shared" ca="1" si="49"/>
        <v/>
      </c>
      <c r="AG97" s="229"/>
      <c r="AH97" s="231"/>
      <c r="AI97" s="206" t="str">
        <f>IF(AND(OR(AG97="",AG97=0),OR(AG97="",AH97=0)),"",IF(OR(AG97="",AG97=0),"DEFINIR PREÇO",IF(OR(AH97="",AH97=0),"DEFINIR FORNECEDOR",IF(OR(AG97&lt;&gt;"",AG97&lt;&gt;0),VLOOKUP(AH97,#REF!,2,FALSE)))))</f>
        <v/>
      </c>
      <c r="AJ97" s="217"/>
      <c r="AK97" s="218"/>
      <c r="AL97" s="220" t="str">
        <f t="shared" ca="1" si="50"/>
        <v/>
      </c>
      <c r="AM97" s="229"/>
      <c r="AN97" s="231"/>
      <c r="AO97" s="206" t="str">
        <f>IF(AND(OR(AM97="",AM97=0),OR(AM97="",AN97=0)),"",IF(OR(AM97="",AM97=0),"DEFINIR PREÇO",IF(OR(AN97="",AN97=0),"DEFINIR FORNECEDOR",IF(OR(AM97&lt;&gt;"",AM97&lt;&gt;0),VLOOKUP(AN97,#REF!,2,FALSE)))))</f>
        <v/>
      </c>
      <c r="AP97" s="217"/>
      <c r="AQ97" s="218"/>
      <c r="AR97" s="220" t="str">
        <f t="shared" ca="1" si="51"/>
        <v/>
      </c>
      <c r="AS97" s="229"/>
      <c r="AT97" s="231"/>
      <c r="AU97" s="194"/>
      <c r="AV97" s="217"/>
      <c r="AW97" s="218"/>
      <c r="AX97" s="220" t="str">
        <f t="shared" ca="1" si="52"/>
        <v/>
      </c>
      <c r="AY97" s="229"/>
      <c r="AZ97" s="234"/>
      <c r="BA97" s="209" t="str">
        <f>IF(AND(OR(AY97="",AY97=0),OR(AY97="",AZ97=0)),"",IF(OR(AY97="",AY97=0),"DEFINIR PREÇO",IF(OR(AZ97="",AZ97=0),"DEFINIR FORNECEDOR",IF(OR(AY97&lt;&gt;"",AY97&lt;&gt;0),VLOOKUP(AZ97,#REF!,2,FALSE)))))</f>
        <v/>
      </c>
      <c r="BB97" s="217"/>
      <c r="BC97" s="218"/>
      <c r="BD97" s="220" t="str">
        <f t="shared" ca="1" si="53"/>
        <v/>
      </c>
      <c r="BE97" s="195"/>
      <c r="BF97" s="196"/>
      <c r="BG97" s="194"/>
      <c r="BH97" s="194"/>
      <c r="BI97" s="194"/>
      <c r="BJ97" s="197"/>
    </row>
    <row r="98" spans="1:62" ht="30" x14ac:dyDescent="0.25">
      <c r="A98" s="44" t="s">
        <v>405</v>
      </c>
      <c r="B98" s="58" t="s">
        <v>316</v>
      </c>
      <c r="C98" s="45">
        <v>4</v>
      </c>
      <c r="D98" s="55" t="s">
        <v>269</v>
      </c>
      <c r="E98" s="45" t="s">
        <v>23</v>
      </c>
      <c r="F98" s="46" t="str">
        <f t="shared" si="64"/>
        <v>DEFINIR CRITÉRIO</v>
      </c>
      <c r="G98" s="47" t="str">
        <f t="shared" si="65"/>
        <v>DEFINIR CRITÉRIO</v>
      </c>
      <c r="H98" s="240" t="s">
        <v>2000</v>
      </c>
      <c r="I98" s="240" t="s">
        <v>2001</v>
      </c>
      <c r="J98" s="242" t="str">
        <f>IFERROR(IF(N98&lt;&gt;"",M98,IF(I98 = PARÂMETROS!$B$5,Q98, IF(I98 = PARÂMETROS!$B$6,R98,IF(I98 = PARÂMETROS!$B$7,S98,IF(I98 = PARÂMETROS!$B$8, T98,"DEFINIR CRITÉRIO"))))),"SEM PREÇO")</f>
        <v>DEFINIR CRITÉRIO</v>
      </c>
      <c r="K98" s="241" t="str">
        <f t="shared" si="42"/>
        <v/>
      </c>
      <c r="L98" s="238" t="str">
        <f t="shared" si="43"/>
        <v/>
      </c>
      <c r="M98" s="51"/>
      <c r="N98" s="52"/>
      <c r="O98" s="53"/>
      <c r="P98" s="235">
        <f t="shared" si="44"/>
        <v>0.50250000000000006</v>
      </c>
      <c r="Q98" s="236">
        <f t="shared" si="45"/>
        <v>0</v>
      </c>
      <c r="R98" s="236">
        <f t="shared" si="46"/>
        <v>0</v>
      </c>
      <c r="S98" s="236">
        <f t="shared" si="47"/>
        <v>0</v>
      </c>
      <c r="T98" s="236">
        <f t="shared" si="48"/>
        <v>0</v>
      </c>
      <c r="U98" s="237" t="e">
        <f>IF(AA98 = "", "", IF(OR($H98 = PARÂMETROS!$E$5, $H98 = ""), AA98, IF(OR(AA98 &lt; (1-VLOOKUP($H98,PARÂMETROS!$E:$F,2,FALSE))*$P98, AA98 &gt; (1+VLOOKUP($H98,PARÂMETROS!$E:$F,2,FALSE))*$P98),"",AA98)))</f>
        <v>#N/A</v>
      </c>
      <c r="V98" s="237" t="e">
        <f>IF(AG98 = "", "", IF(OR($H98 = PARÂMETROS!$E$5, $H98 = ""), AG98, IF(OR(AG98 &lt; (1-VLOOKUP($H98,PARÂMETROS!$E:$F,2,FALSE))*$P103, AG98 &gt; (1+VLOOKUP($H98,PARÂMETROS!$E:$F,2,FALSE))*$P98),"",AG98)))</f>
        <v>#N/A</v>
      </c>
      <c r="W98" s="237" t="e">
        <f>IF(AM98 = "", "", IF(OR($H98 = PARÂMETROS!$E$5, $H98 = ""), AM98, IF(OR(AM98 &lt; (1-VLOOKUP($H98,PARÂMETROS!$E:$F,2,FALSE))*$P98, AM98 &gt; (1+VLOOKUP($H98,PARÂMETROS!$E:$F,2,FALSE))*$P98),"",AM98)))</f>
        <v>#N/A</v>
      </c>
      <c r="X98" s="237" t="e">
        <f>IF(AS98 = "", "", IF(OR($H98 = PARÂMETROS!$E$5, $H98 = ""), AS98, IF(OR(AS98 &lt; (1-VLOOKUP($H98,PARÂMETROS!$E:$F,2,FALSE))*$P98, AS98 &gt; (1+VLOOKUP($H98,PARÂMETROS!$E:$F,2,FALSE))*$P98),"",AS98)))</f>
        <v>#N/A</v>
      </c>
      <c r="Y98" s="237" t="str">
        <f>IF(AY98 = "", "", IF(OR($H98 = PARÂMETROS!$E$5, $H98 = ""), AY98, IF(OR(AY98 &lt; (1-VLOOKUP($H98,PARÂMETROS!$E:$F,2,FALSE))*$P98, AY98 &gt; (1+VLOOKUP($H98,PARÂMETROS!$E:$F,2,FALSE))*$P98),"",AY98)))</f>
        <v/>
      </c>
      <c r="Z98" s="237" t="str">
        <f>IF(BE98 = "", "", IF(OR($H98 = PARÂMETROS!$E$5, $H98 = ""), BE98, IF(OR(BE98 &lt; (1-VLOOKUP($H98,PARÂMETROS!$E:$F,2,FALSE))*$P98, BE98 &gt; (1+VLOOKUP($H98,PARÂMETROS!$E:$F,2,FALSE))*$P98),"",BE98)))</f>
        <v/>
      </c>
      <c r="AA98" s="207">
        <v>0.88</v>
      </c>
      <c r="AB98" s="208">
        <v>1048</v>
      </c>
      <c r="AC98" s="206" t="e">
        <f>IF(AND(OR(AA98="",AA98=0),OR(AA98="",AB98=0)),"",IF(OR(AA98="",AA98=0),"DEFINIR PREÇO",IF(OR(AB98="",AB98=0),"DEFINIR FORNECEDOR",IF(OR(AA98&lt;&gt;"",AA98&lt;&gt;0),VLOOKUP(AB98,#REF!,2,FALSE)))))</f>
        <v>#REF!</v>
      </c>
      <c r="AD98" s="217" t="s">
        <v>1977</v>
      </c>
      <c r="AE98" s="218">
        <v>44936</v>
      </c>
      <c r="AF98" s="220" t="str">
        <f t="shared" ca="1" si="49"/>
        <v>DESATUALIZADA</v>
      </c>
      <c r="AG98" s="229">
        <v>0.33</v>
      </c>
      <c r="AH98" s="231">
        <v>2204</v>
      </c>
      <c r="AI98" s="206" t="e">
        <f>IF(AND(OR(AG98="",AG98=0),OR(AG98="",AH98=0)),"",IF(OR(AG98="",AG98=0),"DEFINIR PREÇO",IF(OR(AH98="",AH98=0),"DEFINIR FORNECEDOR",IF(OR(AG98&lt;&gt;"",AG98&lt;&gt;0),VLOOKUP(AH98,#REF!,2,FALSE)))))</f>
        <v>#REF!</v>
      </c>
      <c r="AJ98" s="217" t="s">
        <v>1977</v>
      </c>
      <c r="AK98" s="218">
        <v>44936</v>
      </c>
      <c r="AL98" s="220" t="str">
        <f t="shared" ca="1" si="50"/>
        <v>DESATUALIZADA</v>
      </c>
      <c r="AM98" s="229">
        <v>0.6</v>
      </c>
      <c r="AN98" s="231">
        <v>676</v>
      </c>
      <c r="AO98" s="206" t="e">
        <f>IF(AND(OR(AM98="",AM98=0),OR(AM98="",AN98=0)),"",IF(OR(AM98="",AM98=0),"DEFINIR PREÇO",IF(OR(AN98="",AN98=0),"DEFINIR FORNECEDOR",IF(OR(AM98&lt;&gt;"",AM98&lt;&gt;0),VLOOKUP(AN98,#REF!,2,FALSE)))))</f>
        <v>#REF!</v>
      </c>
      <c r="AP98" s="217" t="s">
        <v>1977</v>
      </c>
      <c r="AQ98" s="218">
        <v>44936</v>
      </c>
      <c r="AR98" s="220" t="str">
        <f t="shared" ca="1" si="51"/>
        <v>DESATUALIZADA</v>
      </c>
      <c r="AS98" s="229">
        <v>0.2</v>
      </c>
      <c r="AT98" s="231">
        <v>285</v>
      </c>
      <c r="AU98" s="206" t="e">
        <f>IF(AND(OR(AS98="",AS98=0),OR(AS98="",AT98=0)),"",IF(OR(AS98="",AS98=0),"DEFINIR PREÇO",IF(OR(AT98="",AT98=0),"DEFINIR FORNECEDOR",IF(OR(AS98&lt;&gt;"",AS98&lt;&gt;0),VLOOKUP(AT98,#REF!,2,FALSE)))))</f>
        <v>#REF!</v>
      </c>
      <c r="AV98" s="217" t="s">
        <v>1981</v>
      </c>
      <c r="AW98" s="218">
        <v>44945</v>
      </c>
      <c r="AX98" s="220" t="str">
        <f t="shared" ca="1" si="52"/>
        <v>DESATUALIZADA</v>
      </c>
      <c r="AY98" s="229"/>
      <c r="AZ98" s="234"/>
      <c r="BA98" s="209" t="str">
        <f>IF(AND(OR(AY98="",AY98=0),OR(AY98="",AZ98=0)),"",IF(OR(AY98="",AY98=0),"DEFINIR PREÇO",IF(OR(AZ98="",AZ98=0),"DEFINIR FORNECEDOR",IF(OR(AY98&lt;&gt;"",AY98&lt;&gt;0),VLOOKUP(AZ98,#REF!,2,FALSE)))))</f>
        <v/>
      </c>
      <c r="BB98" s="217"/>
      <c r="BC98" s="218"/>
      <c r="BD98" s="220" t="str">
        <f t="shared" ca="1" si="53"/>
        <v/>
      </c>
      <c r="BE98" s="195"/>
      <c r="BF98" s="196"/>
      <c r="BG98" s="194"/>
      <c r="BH98" s="194"/>
      <c r="BI98" s="194"/>
      <c r="BJ98" s="197"/>
    </row>
    <row r="99" spans="1:62" ht="60" x14ac:dyDescent="0.25">
      <c r="A99" s="44" t="s">
        <v>405</v>
      </c>
      <c r="B99" s="58" t="s">
        <v>317</v>
      </c>
      <c r="C99" s="45">
        <v>4</v>
      </c>
      <c r="D99" s="55" t="s">
        <v>270</v>
      </c>
      <c r="E99" s="45" t="s">
        <v>23</v>
      </c>
      <c r="F99" s="46" t="str">
        <f t="shared" si="64"/>
        <v>DEFINIR CRITÉRIO</v>
      </c>
      <c r="G99" s="47" t="str">
        <f t="shared" si="65"/>
        <v>DEFINIR CRITÉRIO</v>
      </c>
      <c r="H99" s="240" t="s">
        <v>2000</v>
      </c>
      <c r="I99" s="240" t="s">
        <v>2001</v>
      </c>
      <c r="J99" s="242" t="str">
        <f>IFERROR(IF(N99&lt;&gt;"",M99,IF(I99 = PARÂMETROS!$B$5,Q99, IF(I99 = PARÂMETROS!$B$6,R99,IF(I99 = PARÂMETROS!$B$7,S99,IF(I99 = PARÂMETROS!$B$8, T99,"DEFINIR CRITÉRIO"))))),"SEM PREÇO")</f>
        <v>DEFINIR CRITÉRIO</v>
      </c>
      <c r="K99" s="241" t="str">
        <f t="shared" si="42"/>
        <v/>
      </c>
      <c r="L99" s="238" t="str">
        <f t="shared" si="43"/>
        <v/>
      </c>
      <c r="M99" s="51"/>
      <c r="N99" s="52"/>
      <c r="O99" s="53"/>
      <c r="P99" s="235">
        <f t="shared" si="44"/>
        <v>6.4524999999999997</v>
      </c>
      <c r="Q99" s="236">
        <f t="shared" si="45"/>
        <v>0</v>
      </c>
      <c r="R99" s="236">
        <f t="shared" si="46"/>
        <v>0</v>
      </c>
      <c r="S99" s="236">
        <f t="shared" si="47"/>
        <v>0</v>
      </c>
      <c r="T99" s="236">
        <f t="shared" si="48"/>
        <v>0</v>
      </c>
      <c r="U99" s="237" t="e">
        <f>IF(AA99 = "", "", IF(OR($H99 = PARÂMETROS!$E$5, $H99 = ""), AA99, IF(OR(AA99 &lt; (1-VLOOKUP($H99,PARÂMETROS!$E:$F,2,FALSE))*$P99, AA99 &gt; (1+VLOOKUP($H99,PARÂMETROS!$E:$F,2,FALSE))*$P99),"",AA99)))</f>
        <v>#N/A</v>
      </c>
      <c r="V99" s="237" t="e">
        <f>IF(AG99 = "", "", IF(OR($H99 = PARÂMETROS!$E$5, $H99 = ""), AG99, IF(OR(AG99 &lt; (1-VLOOKUP($H99,PARÂMETROS!$E:$F,2,FALSE))*$P104, AG99 &gt; (1+VLOOKUP($H99,PARÂMETROS!$E:$F,2,FALSE))*$P99),"",AG99)))</f>
        <v>#N/A</v>
      </c>
      <c r="W99" s="237" t="e">
        <f>IF(AM99 = "", "", IF(OR($H99 = PARÂMETROS!$E$5, $H99 = ""), AM99, IF(OR(AM99 &lt; (1-VLOOKUP($H99,PARÂMETROS!$E:$F,2,FALSE))*$P99, AM99 &gt; (1+VLOOKUP($H99,PARÂMETROS!$E:$F,2,FALSE))*$P99),"",AM99)))</f>
        <v>#N/A</v>
      </c>
      <c r="X99" s="237" t="e">
        <f>IF(AS99 = "", "", IF(OR($H99 = PARÂMETROS!$E$5, $H99 = ""), AS99, IF(OR(AS99 &lt; (1-VLOOKUP($H99,PARÂMETROS!$E:$F,2,FALSE))*$P99, AS99 &gt; (1+VLOOKUP($H99,PARÂMETROS!$E:$F,2,FALSE))*$P99),"",AS99)))</f>
        <v>#N/A</v>
      </c>
      <c r="Y99" s="237" t="str">
        <f>IF(AY99 = "", "", IF(OR($H99 = PARÂMETROS!$E$5, $H99 = ""), AY99, IF(OR(AY99 &lt; (1-VLOOKUP($H99,PARÂMETROS!$E:$F,2,FALSE))*$P99, AY99 &gt; (1+VLOOKUP($H99,PARÂMETROS!$E:$F,2,FALSE))*$P99),"",AY99)))</f>
        <v/>
      </c>
      <c r="Z99" s="237" t="str">
        <f>IF(BE99 = "", "", IF(OR($H99 = PARÂMETROS!$E$5, $H99 = ""), BE99, IF(OR(BE99 &lt; (1-VLOOKUP($H99,PARÂMETROS!$E:$F,2,FALSE))*$P99, BE99 &gt; (1+VLOOKUP($H99,PARÂMETROS!$E:$F,2,FALSE))*$P99),"",BE99)))</f>
        <v/>
      </c>
      <c r="AA99" s="207">
        <v>10.6</v>
      </c>
      <c r="AB99" s="208">
        <v>2215</v>
      </c>
      <c r="AC99" s="206" t="e">
        <f>IF(AND(OR(AA99="",AA99=0),OR(AA99="",AB99=0)),"",IF(OR(AA99="",AA99=0),"DEFINIR PREÇO",IF(OR(AB99="",AB99=0),"DEFINIR FORNECEDOR",IF(OR(AA99&lt;&gt;"",AA99&lt;&gt;0),VLOOKUP(AB99,#REF!,2,FALSE)))))</f>
        <v>#REF!</v>
      </c>
      <c r="AD99" s="217" t="s">
        <v>1984</v>
      </c>
      <c r="AE99" s="218">
        <v>44945</v>
      </c>
      <c r="AF99" s="220" t="str">
        <f t="shared" ca="1" si="49"/>
        <v>DESATUALIZADA</v>
      </c>
      <c r="AG99" s="229">
        <v>3.3</v>
      </c>
      <c r="AH99" s="231">
        <v>2216</v>
      </c>
      <c r="AI99" s="206" t="e">
        <f>IF(AND(OR(AG99="",AG99=0),OR(AG99="",AH99=0)),"",IF(OR(AG99="",AG99=0),"DEFINIR PREÇO",IF(OR(AH99="",AH99=0),"DEFINIR FORNECEDOR",IF(OR(AG99&lt;&gt;"",AG99&lt;&gt;0),VLOOKUP(AH99,#REF!,2,FALSE)))))</f>
        <v>#REF!</v>
      </c>
      <c r="AJ99" s="217">
        <v>679</v>
      </c>
      <c r="AK99" s="218">
        <v>44945</v>
      </c>
      <c r="AL99" s="220" t="str">
        <f t="shared" ca="1" si="50"/>
        <v>DESATUALIZADA</v>
      </c>
      <c r="AM99" s="229">
        <v>7.5</v>
      </c>
      <c r="AN99" s="231">
        <v>2220</v>
      </c>
      <c r="AO99" s="206" t="e">
        <f>IF(AND(OR(AM99="",AM99=0),OR(AM99="",AN99=0)),"",IF(OR(AM99="",AM99=0),"DEFINIR PREÇO",IF(OR(AN99="",AN99=0),"DEFINIR FORNECEDOR",IF(OR(AM99&lt;&gt;"",AM99&lt;&gt;0),VLOOKUP(AN99,#REF!,2,FALSE)))))</f>
        <v>#REF!</v>
      </c>
      <c r="AP99" s="217">
        <v>59820</v>
      </c>
      <c r="AQ99" s="218">
        <v>44945</v>
      </c>
      <c r="AR99" s="220" t="str">
        <f t="shared" ca="1" si="51"/>
        <v>DESATUALIZADA</v>
      </c>
      <c r="AS99" s="229">
        <v>4.41</v>
      </c>
      <c r="AT99" s="231">
        <v>1050</v>
      </c>
      <c r="AU99" s="206" t="e">
        <f>IF(AND(OR(AS99="",AS99=0),OR(AS99="",AT99=0)),"",IF(OR(AS99="",AS99=0),"DEFINIR PREÇO",IF(OR(AT99="",AT99=0),"DEFINIR FORNECEDOR",IF(OR(AS99&lt;&gt;"",AS99&lt;&gt;0),VLOOKUP(AT99,#REF!,2,FALSE)))))</f>
        <v>#REF!</v>
      </c>
      <c r="AV99" s="217" t="s">
        <v>2019</v>
      </c>
      <c r="AW99" s="218">
        <v>44946</v>
      </c>
      <c r="AX99" s="220" t="str">
        <f t="shared" ca="1" si="52"/>
        <v>DESATUALIZADA</v>
      </c>
      <c r="AY99" s="229"/>
      <c r="AZ99" s="234"/>
      <c r="BA99" s="209" t="str">
        <f>IF(AND(OR(AY99="",AY99=0),OR(AY99="",AZ99=0)),"",IF(OR(AY99="",AY99=0),"DEFINIR PREÇO",IF(OR(AZ99="",AZ99=0),"DEFINIR FORNECEDOR",IF(OR(AY99&lt;&gt;"",AY99&lt;&gt;0),VLOOKUP(AZ99,#REF!,2,FALSE)))))</f>
        <v/>
      </c>
      <c r="BB99" s="217"/>
      <c r="BC99" s="218"/>
      <c r="BD99" s="220" t="str">
        <f t="shared" ca="1" si="53"/>
        <v/>
      </c>
      <c r="BE99" s="195"/>
      <c r="BF99" s="196"/>
      <c r="BG99" s="194"/>
      <c r="BH99" s="194"/>
      <c r="BI99" s="194"/>
      <c r="BJ99" s="197"/>
    </row>
    <row r="100" spans="1:62" ht="23.25" customHeight="1" x14ac:dyDescent="0.25">
      <c r="A100" s="44" t="s">
        <v>405</v>
      </c>
      <c r="B100" s="58" t="s">
        <v>314</v>
      </c>
      <c r="C100" s="45">
        <v>4</v>
      </c>
      <c r="D100" s="55" t="s">
        <v>268</v>
      </c>
      <c r="E100" s="45" t="s">
        <v>23</v>
      </c>
      <c r="F100" s="46" t="str">
        <f t="shared" si="64"/>
        <v>DEFINIR CRITÉRIO</v>
      </c>
      <c r="G100" s="47" t="str">
        <f t="shared" si="65"/>
        <v>DEFINIR CRITÉRIO</v>
      </c>
      <c r="H100" s="240" t="s">
        <v>2000</v>
      </c>
      <c r="I100" s="240" t="s">
        <v>2001</v>
      </c>
      <c r="J100" s="242" t="str">
        <f>IFERROR(IF(N100&lt;&gt;"",M100,IF(I100 = PARÂMETROS!$B$5,Q100, IF(I100 = PARÂMETROS!$B$6,R100,IF(I100 = PARÂMETROS!$B$7,S100,IF(I100 = PARÂMETROS!$B$8, T100,"DEFINIR CRITÉRIO"))))),"SEM PREÇO")</f>
        <v>DEFINIR CRITÉRIO</v>
      </c>
      <c r="K100" s="241" t="str">
        <f t="shared" si="42"/>
        <v/>
      </c>
      <c r="L100" s="238" t="str">
        <f t="shared" si="43"/>
        <v/>
      </c>
      <c r="M100" s="51"/>
      <c r="N100" s="52"/>
      <c r="O100" s="53"/>
      <c r="P100" s="235">
        <f t="shared" si="44"/>
        <v>3.3066666666666671</v>
      </c>
      <c r="Q100" s="236">
        <f t="shared" si="45"/>
        <v>0</v>
      </c>
      <c r="R100" s="236">
        <f t="shared" si="46"/>
        <v>0</v>
      </c>
      <c r="S100" s="236">
        <f t="shared" si="47"/>
        <v>0</v>
      </c>
      <c r="T100" s="236">
        <f t="shared" si="48"/>
        <v>0</v>
      </c>
      <c r="U100" s="237" t="e">
        <f>IF(AA100 = "", "", IF(OR($H100 = PARÂMETROS!$E$5, $H100 = ""), AA100, IF(OR(AA100 &lt; (1-VLOOKUP($H100,PARÂMETROS!$E:$F,2,FALSE))*$P100, AA100 &gt; (1+VLOOKUP($H100,PARÂMETROS!$E:$F,2,FALSE))*$P100),"",AA100)))</f>
        <v>#N/A</v>
      </c>
      <c r="V100" s="237" t="e">
        <f>IF(AG100 = "", "", IF(OR($H100 = PARÂMETROS!$E$5, $H100 = ""), AG100, IF(OR(AG100 &lt; (1-VLOOKUP($H100,PARÂMETROS!$E:$F,2,FALSE))*$P105, AG100 &gt; (1+VLOOKUP($H100,PARÂMETROS!$E:$F,2,FALSE))*$P100),"",AG100)))</f>
        <v>#N/A</v>
      </c>
      <c r="W100" s="237" t="e">
        <f>IF(AM100 = "", "", IF(OR($H100 = PARÂMETROS!$E$5, $H100 = ""), AM100, IF(OR(AM100 &lt; (1-VLOOKUP($H100,PARÂMETROS!$E:$F,2,FALSE))*$P100, AM100 &gt; (1+VLOOKUP($H100,PARÂMETROS!$E:$F,2,FALSE))*$P100),"",AM100)))</f>
        <v>#N/A</v>
      </c>
      <c r="X100" s="237" t="str">
        <f>IF(AS100 = "", "", IF(OR($H100 = PARÂMETROS!$E$5, $H100 = ""), AS100, IF(OR(AS100 &lt; (1-VLOOKUP($H100,PARÂMETROS!$E:$F,2,FALSE))*$P100, AS100 &gt; (1+VLOOKUP($H100,PARÂMETROS!$E:$F,2,FALSE))*$P100),"",AS100)))</f>
        <v/>
      </c>
      <c r="Y100" s="237" t="str">
        <f>IF(AY100 = "", "", IF(OR($H100 = PARÂMETROS!$E$5, $H100 = ""), AY100, IF(OR(AY100 &lt; (1-VLOOKUP($H100,PARÂMETROS!$E:$F,2,FALSE))*$P100, AY100 &gt; (1+VLOOKUP($H100,PARÂMETROS!$E:$F,2,FALSE))*$P100),"",AY100)))</f>
        <v/>
      </c>
      <c r="Z100" s="237" t="str">
        <f>IF(BE100 = "", "", IF(OR($H100 = PARÂMETROS!$E$5, $H100 = ""), BE100, IF(OR(BE100 &lt; (1-VLOOKUP($H100,PARÂMETROS!$E:$F,2,FALSE))*$P100, BE100 &gt; (1+VLOOKUP($H100,PARÂMETROS!$E:$F,2,FALSE))*$P100),"",BE100)))</f>
        <v/>
      </c>
      <c r="AA100" s="207">
        <v>3.87</v>
      </c>
      <c r="AB100" s="208">
        <v>1048</v>
      </c>
      <c r="AC100" s="206" t="e">
        <f>IF(AND(OR(AA100="",AA100=0),OR(AA100="",AB100=0)),"",IF(OR(AA100="",AA100=0),"DEFINIR PREÇO",IF(OR(AB100="",AB100=0),"DEFINIR FORNECEDOR",IF(OR(AA100&lt;&gt;"",AA100&lt;&gt;0),VLOOKUP(AB100,#REF!,2,FALSE)))))</f>
        <v>#REF!</v>
      </c>
      <c r="AD100" s="217" t="s">
        <v>1977</v>
      </c>
      <c r="AE100" s="218">
        <v>44936</v>
      </c>
      <c r="AF100" s="220" t="str">
        <f t="shared" ca="1" si="49"/>
        <v>DESATUALIZADA</v>
      </c>
      <c r="AG100" s="229">
        <v>5</v>
      </c>
      <c r="AH100" s="231">
        <v>2204</v>
      </c>
      <c r="AI100" s="206" t="e">
        <f>IF(AND(OR(AG100="",AG100=0),OR(AG100="",AH100=0)),"",IF(OR(AG100="",AG100=0),"DEFINIR PREÇO",IF(OR(AH100="",AH100=0),"DEFINIR FORNECEDOR",IF(OR(AG100&lt;&gt;"",AG100&lt;&gt;0),VLOOKUP(AH100,#REF!,2,FALSE)))))</f>
        <v>#REF!</v>
      </c>
      <c r="AJ100" s="217" t="s">
        <v>1977</v>
      </c>
      <c r="AK100" s="218">
        <v>44936</v>
      </c>
      <c r="AL100" s="220" t="str">
        <f t="shared" ca="1" si="50"/>
        <v>DESATUALIZADA</v>
      </c>
      <c r="AM100" s="229">
        <v>1.05</v>
      </c>
      <c r="AN100" s="231">
        <v>285</v>
      </c>
      <c r="AO100" s="206" t="e">
        <f>IF(AND(OR(AM100="",AM100=0),OR(AM100="",AN100=0)),"",IF(OR(AM100="",AM100=0),"DEFINIR PREÇO",IF(OR(AN100="",AN100=0),"DEFINIR FORNECEDOR",IF(OR(AM100&lt;&gt;"",AM100&lt;&gt;0),VLOOKUP(AN100,#REF!,2,FALSE)))))</f>
        <v>#REF!</v>
      </c>
      <c r="AP100" s="217" t="s">
        <v>1981</v>
      </c>
      <c r="AQ100" s="218">
        <v>44945</v>
      </c>
      <c r="AR100" s="220" t="str">
        <f t="shared" ca="1" si="51"/>
        <v>DESATUALIZADA</v>
      </c>
      <c r="AS100" s="229"/>
      <c r="AT100" s="231"/>
      <c r="AU100" s="194"/>
      <c r="AV100" s="217"/>
      <c r="AW100" s="218"/>
      <c r="AX100" s="220" t="str">
        <f t="shared" ca="1" si="52"/>
        <v/>
      </c>
      <c r="AY100" s="229"/>
      <c r="AZ100" s="234"/>
      <c r="BA100" s="209" t="str">
        <f>IF(AND(OR(AY100="",AY100=0),OR(AY100="",AZ100=0)),"",IF(OR(AY100="",AY100=0),"DEFINIR PREÇO",IF(OR(AZ100="",AZ100=0),"DEFINIR FORNECEDOR",IF(OR(AY100&lt;&gt;"",AY100&lt;&gt;0),VLOOKUP(AZ100,#REF!,2,FALSE)))))</f>
        <v/>
      </c>
      <c r="BB100" s="217"/>
      <c r="BC100" s="218"/>
      <c r="BD100" s="220" t="str">
        <f t="shared" ca="1" si="53"/>
        <v/>
      </c>
      <c r="BE100" s="195"/>
      <c r="BF100" s="196"/>
      <c r="BG100" s="194"/>
      <c r="BH100" s="194"/>
      <c r="BI100" s="194"/>
      <c r="BJ100" s="197"/>
    </row>
    <row r="101" spans="1:62" ht="30" x14ac:dyDescent="0.25">
      <c r="A101" s="44" t="s">
        <v>405</v>
      </c>
      <c r="B101" s="45" t="s">
        <v>40</v>
      </c>
      <c r="C101" s="45">
        <v>4</v>
      </c>
      <c r="D101" s="162" t="s">
        <v>39</v>
      </c>
      <c r="E101" s="45" t="s">
        <v>23</v>
      </c>
      <c r="F101" s="46" t="str">
        <f t="shared" ref="F101" si="67">J101</f>
        <v>DEFINIR CRITÉRIO</v>
      </c>
      <c r="G101" s="47" t="str">
        <f t="shared" ref="G101" si="68">J101</f>
        <v>DEFINIR CRITÉRIO</v>
      </c>
      <c r="H101" s="240" t="s">
        <v>2000</v>
      </c>
      <c r="I101" s="240" t="s">
        <v>2001</v>
      </c>
      <c r="J101" s="242" t="str">
        <f>IFERROR(IF(N101&lt;&gt;"",M101,IF(I101 = PARÂMETROS!$B$5,Q101, IF(I101 = PARÂMETROS!$B$6,R101,IF(I101 = PARÂMETROS!$B$7,S101,IF(I101 = PARÂMETROS!$B$8, T101,"DEFINIR CRITÉRIO"))))),"SEM PREÇO")</f>
        <v>DEFINIR CRITÉRIO</v>
      </c>
      <c r="K101" s="241" t="str">
        <f t="shared" si="42"/>
        <v/>
      </c>
      <c r="L101" s="238" t="str">
        <f t="shared" si="43"/>
        <v/>
      </c>
      <c r="M101" s="51"/>
      <c r="N101" s="52"/>
      <c r="O101" s="53"/>
      <c r="P101" s="235">
        <f t="shared" si="44"/>
        <v>14.003333333333332</v>
      </c>
      <c r="Q101" s="236">
        <f t="shared" si="45"/>
        <v>0</v>
      </c>
      <c r="R101" s="236">
        <f t="shared" si="46"/>
        <v>0</v>
      </c>
      <c r="S101" s="236">
        <f t="shared" si="47"/>
        <v>0</v>
      </c>
      <c r="T101" s="236">
        <f t="shared" si="48"/>
        <v>0</v>
      </c>
      <c r="U101" s="237" t="e">
        <f>IF(AA101 = "", "", IF(OR($H101 = PARÂMETROS!$E$5, $H101 = ""), AA101, IF(OR(AA101 &lt; (1-VLOOKUP($H101,PARÂMETROS!$E:$F,2,FALSE))*$P101, AA101 &gt; (1+VLOOKUP($H101,PARÂMETROS!$E:$F,2,FALSE))*$P101),"",AA101)))</f>
        <v>#N/A</v>
      </c>
      <c r="V101" s="237" t="e">
        <f>IF(AG101 = "", "", IF(OR($H101 = PARÂMETROS!$E$5, $H101 = ""), AG101, IF(OR(AG101 &lt; (1-VLOOKUP($H101,PARÂMETROS!$E:$F,2,FALSE))*$P106, AG101 &gt; (1+VLOOKUP($H101,PARÂMETROS!$E:$F,2,FALSE))*$P101),"",AG101)))</f>
        <v>#N/A</v>
      </c>
      <c r="W101" s="237" t="e">
        <f>IF(AM101 = "", "", IF(OR($H101 = PARÂMETROS!$E$5, $H101 = ""), AM101, IF(OR(AM101 &lt; (1-VLOOKUP($H101,PARÂMETROS!$E:$F,2,FALSE))*$P101, AM101 &gt; (1+VLOOKUP($H101,PARÂMETROS!$E:$F,2,FALSE))*$P101),"",AM101)))</f>
        <v>#N/A</v>
      </c>
      <c r="X101" s="237" t="str">
        <f>IF(AS101 = "", "", IF(OR($H101 = PARÂMETROS!$E$5, $H101 = ""), AS101, IF(OR(AS101 &lt; (1-VLOOKUP($H101,PARÂMETROS!$E:$F,2,FALSE))*$P101, AS101 &gt; (1+VLOOKUP($H101,PARÂMETROS!$E:$F,2,FALSE))*$P101),"",AS101)))</f>
        <v/>
      </c>
      <c r="Y101" s="237" t="str">
        <f>IF(AY101 = "", "", IF(OR($H101 = PARÂMETROS!$E$5, $H101 = ""), AY101, IF(OR(AY101 &lt; (1-VLOOKUP($H101,PARÂMETROS!$E:$F,2,FALSE))*$P101, AY101 &gt; (1+VLOOKUP($H101,PARÂMETROS!$E:$F,2,FALSE))*$P101),"",AY101)))</f>
        <v/>
      </c>
      <c r="Z101" s="237" t="str">
        <f>IF(BE101 = "", "", IF(OR($H101 = PARÂMETROS!$E$5, $H101 = ""), BE101, IF(OR(BE101 &lt; (1-VLOOKUP($H101,PARÂMETROS!$E:$F,2,FALSE))*$P101, BE101 &gt; (1+VLOOKUP($H101,PARÂMETROS!$E:$F,2,FALSE))*$P101),"",BE101)))</f>
        <v/>
      </c>
      <c r="AA101" s="207">
        <v>9.51</v>
      </c>
      <c r="AB101" s="208">
        <v>1868</v>
      </c>
      <c r="AC101" s="206" t="e">
        <f>IF(AND(OR(AA101="",AA101=0),OR(AA101="",AB101=0)),"",IF(OR(AA101="",AA101=0),"DEFINIR PREÇO",IF(OR(AB101="",AB101=0),"DEFINIR FORNECEDOR",IF(OR(AA101&lt;&gt;"",AA101&lt;&gt;0),VLOOKUP(AB101,#REF!,2,FALSE)))))</f>
        <v>#REF!</v>
      </c>
      <c r="AD101" s="217" t="s">
        <v>1977</v>
      </c>
      <c r="AE101" s="218">
        <v>44916</v>
      </c>
      <c r="AF101" s="220" t="str">
        <f t="shared" ca="1" si="49"/>
        <v>DESATUALIZADA</v>
      </c>
      <c r="AG101" s="229">
        <v>12.5</v>
      </c>
      <c r="AH101" s="231">
        <v>1116</v>
      </c>
      <c r="AI101" s="206" t="e">
        <f>IF(AND(OR(AG101="",AG101=0),OR(AG101="",AH101=0)),"",IF(OR(AG101="",AG101=0),"DEFINIR PREÇO",IF(OR(AH101="",AH101=0),"DEFINIR FORNECEDOR",IF(OR(AG101&lt;&gt;"",AG101&lt;&gt;0),VLOOKUP(AH101,#REF!,2,FALSE)))))</f>
        <v>#REF!</v>
      </c>
      <c r="AJ101" s="217" t="s">
        <v>1977</v>
      </c>
      <c r="AK101" s="218">
        <v>44916</v>
      </c>
      <c r="AL101" s="220" t="str">
        <f t="shared" ca="1" si="50"/>
        <v>DESATUALIZADA</v>
      </c>
      <c r="AM101" s="229">
        <f>20</f>
        <v>20</v>
      </c>
      <c r="AN101" s="231">
        <v>1902</v>
      </c>
      <c r="AO101" s="206" t="e">
        <f>IF(AND(OR(AM101="",AM101=0),OR(AM101="",AN101=0)),"",IF(OR(AM101="",AM101=0),"DEFINIR PREÇO",IF(OR(AN101="",AN101=0),"DEFINIR FORNECEDOR",IF(OR(AM101&lt;&gt;"",AM101&lt;&gt;0),VLOOKUP(AN101,#REF!,2,FALSE)))))</f>
        <v>#REF!</v>
      </c>
      <c r="AP101" s="217" t="s">
        <v>1977</v>
      </c>
      <c r="AQ101" s="218">
        <v>44916</v>
      </c>
      <c r="AR101" s="220" t="str">
        <f t="shared" ca="1" si="51"/>
        <v>DESATUALIZADA</v>
      </c>
      <c r="AS101" s="229"/>
      <c r="AT101" s="231"/>
      <c r="AU101" s="191" t="str">
        <f>IF(AND(OR(AS101="",AS101=0),OR(AS101="",AT101=0)),"",IF(OR(AS101="",AS101=0),"DEFINIR PREÇO",IF(OR(AT101="",AT101=0),"DEFINIR FORNECEDOR",IF(OR(AS101&lt;&gt;"",AS101&lt;&gt;0),VLOOKUP(AT101,#REF!,2,FALSE)))))</f>
        <v/>
      </c>
      <c r="AV101" s="217"/>
      <c r="AW101" s="218"/>
      <c r="AX101" s="220" t="str">
        <f t="shared" ca="1" si="52"/>
        <v/>
      </c>
      <c r="AY101" s="229"/>
      <c r="AZ101" s="234"/>
      <c r="BA101" s="209" t="str">
        <f>IF(AND(OR(AY101="",AY101=0),OR(AY101="",AZ101=0)),"",IF(OR(AY101="",AY101=0),"DEFINIR PREÇO",IF(OR(AZ101="",AZ101=0),"DEFINIR FORNECEDOR",IF(OR(AY101&lt;&gt;"",AY101&lt;&gt;0),VLOOKUP(AZ101,#REF!,2,FALSE)))))</f>
        <v/>
      </c>
      <c r="BB101" s="217"/>
      <c r="BC101" s="218"/>
      <c r="BD101" s="220" t="str">
        <f t="shared" ca="1" si="53"/>
        <v/>
      </c>
      <c r="BE101" s="195"/>
      <c r="BF101" s="196"/>
      <c r="BG101" s="191"/>
      <c r="BH101" s="192"/>
      <c r="BI101" s="192"/>
      <c r="BJ101" s="193"/>
    </row>
    <row r="102" spans="1:62" ht="60" x14ac:dyDescent="0.25">
      <c r="A102" s="44" t="s">
        <v>405</v>
      </c>
      <c r="B102" s="58" t="s">
        <v>318</v>
      </c>
      <c r="C102" s="45">
        <v>4</v>
      </c>
      <c r="D102" s="55" t="s">
        <v>271</v>
      </c>
      <c r="E102" s="45" t="s">
        <v>23</v>
      </c>
      <c r="F102" s="46" t="str">
        <f>J102</f>
        <v>DEFINIR CRITÉRIO</v>
      </c>
      <c r="G102" s="47" t="str">
        <f>J102</f>
        <v>DEFINIR CRITÉRIO</v>
      </c>
      <c r="H102" s="240" t="s">
        <v>2000</v>
      </c>
      <c r="I102" s="240" t="s">
        <v>2001</v>
      </c>
      <c r="J102" s="242" t="str">
        <f>IFERROR(IF(N102&lt;&gt;"",M102,IF(I102 = PARÂMETROS!$B$5,Q102, IF(I102 = PARÂMETROS!$B$6,R102,IF(I102 = PARÂMETROS!$B$7,S102,IF(I102 = PARÂMETROS!$B$8, T102,"DEFINIR CRITÉRIO"))))),"SEM PREÇO")</f>
        <v>DEFINIR CRITÉRIO</v>
      </c>
      <c r="K102" s="241" t="str">
        <f t="shared" si="42"/>
        <v/>
      </c>
      <c r="L102" s="238" t="str">
        <f t="shared" si="43"/>
        <v/>
      </c>
      <c r="M102" s="51"/>
      <c r="N102" s="52"/>
      <c r="O102" s="53"/>
      <c r="P102" s="235">
        <f t="shared" si="44"/>
        <v>268.27249999999998</v>
      </c>
      <c r="Q102" s="236">
        <f t="shared" si="45"/>
        <v>0</v>
      </c>
      <c r="R102" s="236">
        <f t="shared" si="46"/>
        <v>0</v>
      </c>
      <c r="S102" s="236">
        <f t="shared" si="47"/>
        <v>0</v>
      </c>
      <c r="T102" s="236">
        <f t="shared" si="48"/>
        <v>0</v>
      </c>
      <c r="U102" s="237" t="e">
        <f>IF(AA102 = "", "", IF(OR($H102 = PARÂMETROS!$E$5, $H102 = ""), AA102, IF(OR(AA102 &lt; (1-VLOOKUP($H102,PARÂMETROS!$E:$F,2,FALSE))*$P102, AA102 &gt; (1+VLOOKUP($H102,PARÂMETROS!$E:$F,2,FALSE))*$P102),"",AA102)))</f>
        <v>#N/A</v>
      </c>
      <c r="V102" s="237" t="e">
        <f>IF(AG102 = "", "", IF(OR($H102 = PARÂMETROS!$E$5, $H102 = ""), AG102, IF(OR(AG102 &lt; (1-VLOOKUP($H102,PARÂMETROS!$E:$F,2,FALSE))*$P107, AG102 &gt; (1+VLOOKUP($H102,PARÂMETROS!$E:$F,2,FALSE))*$P102),"",AG102)))</f>
        <v>#N/A</v>
      </c>
      <c r="W102" s="237" t="e">
        <f>IF(AM102 = "", "", IF(OR($H102 = PARÂMETROS!$E$5, $H102 = ""), AM102, IF(OR(AM102 &lt; (1-VLOOKUP($H102,PARÂMETROS!$E:$F,2,FALSE))*$P102, AM102 &gt; (1+VLOOKUP($H102,PARÂMETROS!$E:$F,2,FALSE))*$P102),"",AM102)))</f>
        <v>#N/A</v>
      </c>
      <c r="X102" s="237" t="e">
        <f>IF(AS102 = "", "", IF(OR($H102 = PARÂMETROS!$E$5, $H102 = ""), AS102, IF(OR(AS102 &lt; (1-VLOOKUP($H102,PARÂMETROS!$E:$F,2,FALSE))*$P102, AS102 &gt; (1+VLOOKUP($H102,PARÂMETROS!$E:$F,2,FALSE))*$P102),"",AS102)))</f>
        <v>#N/A</v>
      </c>
      <c r="Y102" s="237" t="str">
        <f>IF(AY102 = "", "", IF(OR($H102 = PARÂMETROS!$E$5, $H102 = ""), AY102, IF(OR(AY102 &lt; (1-VLOOKUP($H102,PARÂMETROS!$E:$F,2,FALSE))*$P102, AY102 &gt; (1+VLOOKUP($H102,PARÂMETROS!$E:$F,2,FALSE))*$P102),"",AY102)))</f>
        <v/>
      </c>
      <c r="Z102" s="237" t="str">
        <f>IF(BE102 = "", "", IF(OR($H102 = PARÂMETROS!$E$5, $H102 = ""), BE102, IF(OR(BE102 &lt; (1-VLOOKUP($H102,PARÂMETROS!$E:$F,2,FALSE))*$P102, BE102 &gt; (1+VLOOKUP($H102,PARÂMETROS!$E:$F,2,FALSE))*$P102),"",BE102)))</f>
        <v/>
      </c>
      <c r="AA102" s="207">
        <v>550</v>
      </c>
      <c r="AB102" s="208">
        <v>2215</v>
      </c>
      <c r="AC102" s="206" t="e">
        <f>IF(AND(OR(AA102="",AA102=0),OR(AA102="",AB102=0)),"",IF(OR(AA102="",AA102=0),"DEFINIR PREÇO",IF(OR(AB102="",AB102=0),"DEFINIR FORNECEDOR",IF(OR(AA102&lt;&gt;"",AA102&lt;&gt;0),VLOOKUP(AB102,#REF!,2,FALSE)))))</f>
        <v>#REF!</v>
      </c>
      <c r="AD102" s="217" t="s">
        <v>1984</v>
      </c>
      <c r="AE102" s="218">
        <v>44945</v>
      </c>
      <c r="AF102" s="220" t="str">
        <f t="shared" ca="1" si="49"/>
        <v>DESATUALIZADA</v>
      </c>
      <c r="AG102" s="229">
        <v>160</v>
      </c>
      <c r="AH102" s="231">
        <v>2216</v>
      </c>
      <c r="AI102" s="206" t="e">
        <f>IF(AND(OR(AG102="",AG102=0),OR(AG102="",AH102=0)),"",IF(OR(AG102="",AG102=0),"DEFINIR PREÇO",IF(OR(AH102="",AH102=0),"DEFINIR FORNECEDOR",IF(OR(AG102&lt;&gt;"",AG102&lt;&gt;0),VLOOKUP(AH102,#REF!,2,FALSE)))))</f>
        <v>#REF!</v>
      </c>
      <c r="AJ102" s="217">
        <v>679</v>
      </c>
      <c r="AK102" s="218">
        <v>44945</v>
      </c>
      <c r="AL102" s="220" t="str">
        <f t="shared" ca="1" si="50"/>
        <v>DESATUALIZADA</v>
      </c>
      <c r="AM102" s="229">
        <v>120</v>
      </c>
      <c r="AN102" s="231">
        <v>2220</v>
      </c>
      <c r="AO102" s="206" t="e">
        <f>IF(AND(OR(AM102="",AM102=0),OR(AM102="",AN102=0)),"",IF(OR(AM102="",AM102=0),"DEFINIR PREÇO",IF(OR(AN102="",AN102=0),"DEFINIR FORNECEDOR",IF(OR(AM102&lt;&gt;"",AM102&lt;&gt;0),VLOOKUP(AN102,#REF!,2,FALSE)))))</f>
        <v>#REF!</v>
      </c>
      <c r="AP102" s="217">
        <v>59820</v>
      </c>
      <c r="AQ102" s="218">
        <v>44945</v>
      </c>
      <c r="AR102" s="220" t="str">
        <f t="shared" ca="1" si="51"/>
        <v>DESATUALIZADA</v>
      </c>
      <c r="AS102" s="229">
        <v>243.09</v>
      </c>
      <c r="AT102" s="231">
        <v>1050</v>
      </c>
      <c r="AU102" s="206" t="e">
        <f>IF(AND(OR(AS102="",AS102=0),OR(AS102="",AT102=0)),"",IF(OR(AS102="",AS102=0),"DEFINIR PREÇO",IF(OR(AT102="",AT102=0),"DEFINIR FORNECEDOR",IF(OR(AS102&lt;&gt;"",AS102&lt;&gt;0),VLOOKUP(AT102,#REF!,2,FALSE)))))</f>
        <v>#REF!</v>
      </c>
      <c r="AV102" s="217" t="s">
        <v>2019</v>
      </c>
      <c r="AW102" s="218">
        <v>44946</v>
      </c>
      <c r="AX102" s="220" t="str">
        <f t="shared" ca="1" si="52"/>
        <v>DESATUALIZADA</v>
      </c>
      <c r="AY102" s="229"/>
      <c r="AZ102" s="234"/>
      <c r="BA102" s="209" t="str">
        <f>IF(AND(OR(AY102="",AY102=0),OR(AY102="",AZ102=0)),"",IF(OR(AY102="",AY102=0),"DEFINIR PREÇO",IF(OR(AZ102="",AZ102=0),"DEFINIR FORNECEDOR",IF(OR(AY102&lt;&gt;"",AY102&lt;&gt;0),VLOOKUP(AZ102,#REF!,2,FALSE)))))</f>
        <v/>
      </c>
      <c r="BB102" s="217"/>
      <c r="BC102" s="218"/>
      <c r="BD102" s="220" t="str">
        <f t="shared" ca="1" si="53"/>
        <v/>
      </c>
      <c r="BE102" s="195"/>
      <c r="BF102" s="196"/>
      <c r="BG102" s="194"/>
      <c r="BH102" s="194"/>
      <c r="BI102" s="194"/>
      <c r="BJ102" s="197"/>
    </row>
    <row r="103" spans="1:62" ht="30" x14ac:dyDescent="0.25">
      <c r="A103" s="44" t="s">
        <v>405</v>
      </c>
      <c r="B103" s="45" t="s">
        <v>44</v>
      </c>
      <c r="C103" s="45">
        <v>4</v>
      </c>
      <c r="D103" s="55" t="s">
        <v>43</v>
      </c>
      <c r="E103" s="45" t="s">
        <v>23</v>
      </c>
      <c r="F103" s="46" t="str">
        <f t="shared" ref="F103:F107" si="69">J103</f>
        <v>DEFINIR CRITÉRIO</v>
      </c>
      <c r="G103" s="47" t="str">
        <f t="shared" ref="G103:G107" si="70">J103</f>
        <v>DEFINIR CRITÉRIO</v>
      </c>
      <c r="H103" s="240" t="s">
        <v>2000</v>
      </c>
      <c r="I103" s="240" t="s">
        <v>1999</v>
      </c>
      <c r="J103" s="242" t="str">
        <f>IFERROR(IF(N103&lt;&gt;"",M103,IF(I103 = PARÂMETROS!$B$5,Q103, IF(I103 = PARÂMETROS!$B$6,R103,IF(I103 = PARÂMETROS!$B$7,S103,IF(I103 = PARÂMETROS!$B$8, T103,"DEFINIR CRITÉRIO"))))),"SEM PREÇO")</f>
        <v>DEFINIR CRITÉRIO</v>
      </c>
      <c r="K103" s="241" t="str">
        <f t="shared" si="42"/>
        <v/>
      </c>
      <c r="L103" s="238" t="str">
        <f t="shared" si="43"/>
        <v/>
      </c>
      <c r="M103" s="51"/>
      <c r="N103" s="52"/>
      <c r="O103" s="53"/>
      <c r="P103" s="235">
        <f t="shared" si="44"/>
        <v>152.33333333333334</v>
      </c>
      <c r="Q103" s="236">
        <f t="shared" si="45"/>
        <v>0</v>
      </c>
      <c r="R103" s="236">
        <f t="shared" si="46"/>
        <v>0</v>
      </c>
      <c r="S103" s="236">
        <f t="shared" si="47"/>
        <v>0</v>
      </c>
      <c r="T103" s="236">
        <f t="shared" si="48"/>
        <v>0</v>
      </c>
      <c r="U103" s="237" t="e">
        <f>IF(AA103 = "", "", IF(OR($H103 = PARÂMETROS!$E$5, $H103 = ""), AA103, IF(OR(AA103 &lt; (1-VLOOKUP($H103,PARÂMETROS!$E:$F,2,FALSE))*$P103, AA103 &gt; (1+VLOOKUP($H103,PARÂMETROS!$E:$F,2,FALSE))*$P103),"",AA103)))</f>
        <v>#N/A</v>
      </c>
      <c r="V103" s="237" t="e">
        <f>IF(AG103 = "", "", IF(OR($H103 = PARÂMETROS!$E$5, $H103 = ""), AG103, IF(OR(AG103 &lt; (1-VLOOKUP($H103,PARÂMETROS!$E:$F,2,FALSE))*$P108, AG103 &gt; (1+VLOOKUP($H103,PARÂMETROS!$E:$F,2,FALSE))*$P103),"",AG103)))</f>
        <v>#N/A</v>
      </c>
      <c r="W103" s="237" t="e">
        <f>IF(AM103 = "", "", IF(OR($H103 = PARÂMETROS!$E$5, $H103 = ""), AM103, IF(OR(AM103 &lt; (1-VLOOKUP($H103,PARÂMETROS!$E:$F,2,FALSE))*$P103, AM103 &gt; (1+VLOOKUP($H103,PARÂMETROS!$E:$F,2,FALSE))*$P103),"",AM103)))</f>
        <v>#N/A</v>
      </c>
      <c r="X103" s="237" t="str">
        <f>IF(AS103 = "", "", IF(OR($H103 = PARÂMETROS!$E$5, $H103 = ""), AS103, IF(OR(AS103 &lt; (1-VLOOKUP($H103,PARÂMETROS!$E:$F,2,FALSE))*$P103, AS103 &gt; (1+VLOOKUP($H103,PARÂMETROS!$E:$F,2,FALSE))*$P103),"",AS103)))</f>
        <v/>
      </c>
      <c r="Y103" s="237" t="str">
        <f>IF(AY103 = "", "", IF(OR($H103 = PARÂMETROS!$E$5, $H103 = ""), AY103, IF(OR(AY103 &lt; (1-VLOOKUP($H103,PARÂMETROS!$E:$F,2,FALSE))*$P103, AY103 &gt; (1+VLOOKUP($H103,PARÂMETROS!$E:$F,2,FALSE))*$P103),"",AY103)))</f>
        <v/>
      </c>
      <c r="Z103" s="237" t="str">
        <f>IF(BE103 = "", "", IF(OR($H103 = PARÂMETROS!$E$5, $H103 = ""), BE103, IF(OR(BE103 &lt; (1-VLOOKUP($H103,PARÂMETROS!$E:$F,2,FALSE))*$P103, BE103 &gt; (1+VLOOKUP($H103,PARÂMETROS!$E:$F,2,FALSE))*$P103),"",BE103)))</f>
        <v/>
      </c>
      <c r="AA103" s="207">
        <v>165</v>
      </c>
      <c r="AB103" s="208">
        <v>1534</v>
      </c>
      <c r="AC103" s="206" t="e">
        <f>IF(AND(OR(AA103="",AA103=0),OR(AA103="",AB103=0)),"",IF(OR(AA103="",AA103=0),"DEFINIR PREÇO",IF(OR(AB103="",AB103=0),"DEFINIR FORNECEDOR",IF(OR(AA103&lt;&gt;"",AA103&lt;&gt;0),VLOOKUP(AB103,#REF!,2,FALSE)))))</f>
        <v>#REF!</v>
      </c>
      <c r="AD103" s="217" t="s">
        <v>1977</v>
      </c>
      <c r="AE103" s="218">
        <v>44929</v>
      </c>
      <c r="AF103" s="220" t="str">
        <f t="shared" ca="1" si="49"/>
        <v>DESATUALIZADA</v>
      </c>
      <c r="AG103" s="229">
        <v>165</v>
      </c>
      <c r="AH103" s="231">
        <v>824</v>
      </c>
      <c r="AI103" s="206" t="e">
        <f>IF(AND(OR(AG103="",AG103=0),OR(AG103="",AH103=0)),"",IF(OR(AG103="",AG103=0),"DEFINIR PREÇO",IF(OR(AH103="",AH103=0),"DEFINIR FORNECEDOR",IF(OR(AG103&lt;&gt;"",AG103&lt;&gt;0),VLOOKUP(AH103,#REF!,2,FALSE)))))</f>
        <v>#REF!</v>
      </c>
      <c r="AJ103" s="217" t="s">
        <v>1977</v>
      </c>
      <c r="AK103" s="218">
        <v>44929</v>
      </c>
      <c r="AL103" s="220" t="str">
        <f t="shared" ca="1" si="50"/>
        <v>DESATUALIZADA</v>
      </c>
      <c r="AM103" s="229">
        <v>127</v>
      </c>
      <c r="AN103" s="231">
        <v>1043</v>
      </c>
      <c r="AO103" s="206" t="e">
        <f>IF(AND(OR(AM103="",AM103=0),OR(AM103="",AN103=0)),"",IF(OR(AM103="",AM103=0),"DEFINIR PREÇO",IF(OR(AN103="",AN103=0),"DEFINIR FORNECEDOR",IF(OR(AM103&lt;&gt;"",AM103&lt;&gt;0),VLOOKUP(AN103,#REF!,2,FALSE)))))</f>
        <v>#REF!</v>
      </c>
      <c r="AP103" s="217" t="s">
        <v>1977</v>
      </c>
      <c r="AQ103" s="218">
        <v>44929</v>
      </c>
      <c r="AR103" s="220" t="str">
        <f t="shared" ca="1" si="51"/>
        <v>DESATUALIZADA</v>
      </c>
      <c r="AS103" s="229"/>
      <c r="AT103" s="231"/>
      <c r="AU103" s="194"/>
      <c r="AV103" s="217"/>
      <c r="AW103" s="218"/>
      <c r="AX103" s="220" t="str">
        <f t="shared" ca="1" si="52"/>
        <v/>
      </c>
      <c r="AY103" s="229"/>
      <c r="AZ103" s="234"/>
      <c r="BA103" s="209" t="str">
        <f>IF(AND(OR(AY103="",AY103=0),OR(AY103="",AZ103=0)),"",IF(OR(AY103="",AY103=0),"DEFINIR PREÇO",IF(OR(AZ103="",AZ103=0),"DEFINIR FORNECEDOR",IF(OR(AY103&lt;&gt;"",AY103&lt;&gt;0),VLOOKUP(AZ103,#REF!,2,FALSE)))))</f>
        <v/>
      </c>
      <c r="BB103" s="217"/>
      <c r="BC103" s="218"/>
      <c r="BD103" s="220" t="str">
        <f t="shared" ca="1" si="53"/>
        <v/>
      </c>
      <c r="BE103" s="195"/>
      <c r="BF103" s="196"/>
      <c r="BG103" s="194"/>
      <c r="BH103" s="192"/>
      <c r="BI103" s="192"/>
      <c r="BJ103" s="193"/>
    </row>
    <row r="104" spans="1:62" ht="30" x14ac:dyDescent="0.25">
      <c r="A104" s="44" t="s">
        <v>405</v>
      </c>
      <c r="B104" s="45" t="s">
        <v>36</v>
      </c>
      <c r="C104" s="45">
        <v>4</v>
      </c>
      <c r="D104" s="55" t="s">
        <v>35</v>
      </c>
      <c r="E104" s="45" t="s">
        <v>23</v>
      </c>
      <c r="F104" s="46" t="str">
        <f t="shared" si="69"/>
        <v>DEFINIR CRITÉRIO</v>
      </c>
      <c r="G104" s="47" t="str">
        <f t="shared" si="70"/>
        <v>DEFINIR CRITÉRIO</v>
      </c>
      <c r="H104" s="240" t="s">
        <v>2000</v>
      </c>
      <c r="I104" s="240" t="s">
        <v>2001</v>
      </c>
      <c r="J104" s="242" t="str">
        <f>IFERROR(IF(N104&lt;&gt;"",M104,IF(I104 = PARÂMETROS!$B$5,Q104, IF(I104 = PARÂMETROS!$B$6,R104,IF(I104 = PARÂMETROS!$B$7,S104,IF(I104 = PARÂMETROS!$B$8, T104,"DEFINIR CRITÉRIO"))))),"SEM PREÇO")</f>
        <v>DEFINIR CRITÉRIO</v>
      </c>
      <c r="K104" s="241" t="str">
        <f t="shared" si="42"/>
        <v/>
      </c>
      <c r="L104" s="238" t="str">
        <f t="shared" si="43"/>
        <v/>
      </c>
      <c r="M104" s="51"/>
      <c r="N104" s="52"/>
      <c r="O104" s="53"/>
      <c r="P104" s="235">
        <f t="shared" si="44"/>
        <v>453.97666666666669</v>
      </c>
      <c r="Q104" s="236">
        <f t="shared" si="45"/>
        <v>0</v>
      </c>
      <c r="R104" s="236">
        <f t="shared" si="46"/>
        <v>0</v>
      </c>
      <c r="S104" s="236">
        <f t="shared" si="47"/>
        <v>0</v>
      </c>
      <c r="T104" s="236">
        <f t="shared" si="48"/>
        <v>0</v>
      </c>
      <c r="U104" s="237" t="e">
        <f>IF(AA104 = "", "", IF(OR($H104 = PARÂMETROS!$E$5, $H104 = ""), AA104, IF(OR(AA104 &lt; (1-VLOOKUP($H104,PARÂMETROS!$E:$F,2,FALSE))*$P104, AA104 &gt; (1+VLOOKUP($H104,PARÂMETROS!$E:$F,2,FALSE))*$P104),"",AA104)))</f>
        <v>#N/A</v>
      </c>
      <c r="V104" s="237" t="e">
        <f>IF(AG104 = "", "", IF(OR($H104 = PARÂMETROS!$E$5, $H104 = ""), AG104, IF(OR(AG104 &lt; (1-VLOOKUP($H104,PARÂMETROS!$E:$F,2,FALSE))*$P109, AG104 &gt; (1+VLOOKUP($H104,PARÂMETROS!$E:$F,2,FALSE))*$P104),"",AG104)))</f>
        <v>#N/A</v>
      </c>
      <c r="W104" s="237" t="e">
        <f>IF(AM104 = "", "", IF(OR($H104 = PARÂMETROS!$E$5, $H104 = ""), AM104, IF(OR(AM104 &lt; (1-VLOOKUP($H104,PARÂMETROS!$E:$F,2,FALSE))*$P104, AM104 &gt; (1+VLOOKUP($H104,PARÂMETROS!$E:$F,2,FALSE))*$P104),"",AM104)))</f>
        <v>#N/A</v>
      </c>
      <c r="X104" s="237" t="str">
        <f>IF(AS104 = "", "", IF(OR($H104 = PARÂMETROS!$E$5, $H104 = ""), AS104, IF(OR(AS104 &lt; (1-VLOOKUP($H104,PARÂMETROS!$E:$F,2,FALSE))*$P104, AS104 &gt; (1+VLOOKUP($H104,PARÂMETROS!$E:$F,2,FALSE))*$P104),"",AS104)))</f>
        <v/>
      </c>
      <c r="Y104" s="237" t="str">
        <f>IF(AY104 = "", "", IF(OR($H104 = PARÂMETROS!$E$5, $H104 = ""), AY104, IF(OR(AY104 &lt; (1-VLOOKUP($H104,PARÂMETROS!$E:$F,2,FALSE))*$P104, AY104 &gt; (1+VLOOKUP($H104,PARÂMETROS!$E:$F,2,FALSE))*$P104),"",AY104)))</f>
        <v/>
      </c>
      <c r="Z104" s="237" t="str">
        <f>IF(BE104 = "", "", IF(OR($H104 = PARÂMETROS!$E$5, $H104 = ""), BE104, IF(OR(BE104 &lt; (1-VLOOKUP($H104,PARÂMETROS!$E:$F,2,FALSE))*$P104, BE104 &gt; (1+VLOOKUP($H104,PARÂMETROS!$E:$F,2,FALSE))*$P104),"",BE104)))</f>
        <v/>
      </c>
      <c r="AA104" s="207">
        <v>565</v>
      </c>
      <c r="AB104" s="208">
        <v>1534</v>
      </c>
      <c r="AC104" s="206" t="e">
        <f>IF(AND(OR(AA104="",AA104=0),OR(AA104="",AB104=0)),"",IF(OR(AA104="",AA104=0),"DEFINIR PREÇO",IF(OR(AB104="",AB104=0),"DEFINIR FORNECEDOR",IF(OR(AA104&lt;&gt;"",AA104&lt;&gt;0),VLOOKUP(AB104,#REF!,2,FALSE)))))</f>
        <v>#REF!</v>
      </c>
      <c r="AD104" s="217" t="s">
        <v>1977</v>
      </c>
      <c r="AE104" s="218">
        <v>44929</v>
      </c>
      <c r="AF104" s="220" t="str">
        <f t="shared" ca="1" si="49"/>
        <v>DESATUALIZADA</v>
      </c>
      <c r="AG104" s="229">
        <v>421.93</v>
      </c>
      <c r="AH104" s="231">
        <v>824</v>
      </c>
      <c r="AI104" s="206" t="e">
        <f>IF(AND(OR(AG104="",AG104=0),OR(AG104="",AH104=0)),"",IF(OR(AG104="",AG104=0),"DEFINIR PREÇO",IF(OR(AH104="",AH104=0),"DEFINIR FORNECEDOR",IF(OR(AG104&lt;&gt;"",AG104&lt;&gt;0),VLOOKUP(AH104,#REF!,2,FALSE)))))</f>
        <v>#REF!</v>
      </c>
      <c r="AJ104" s="217" t="s">
        <v>1977</v>
      </c>
      <c r="AK104" s="218">
        <v>44929</v>
      </c>
      <c r="AL104" s="220" t="str">
        <f t="shared" ca="1" si="50"/>
        <v>DESATUALIZADA</v>
      </c>
      <c r="AM104" s="229">
        <v>375</v>
      </c>
      <c r="AN104" s="231">
        <v>1043</v>
      </c>
      <c r="AO104" s="206" t="e">
        <f>IF(AND(OR(AM104="",AM104=0),OR(AM104="",AN104=0)),"",IF(OR(AM104="",AM104=0),"DEFINIR PREÇO",IF(OR(AN104="",AN104=0),"DEFINIR FORNECEDOR",IF(OR(AM104&lt;&gt;"",AM104&lt;&gt;0),VLOOKUP(AN104,#REF!,2,FALSE)))))</f>
        <v>#REF!</v>
      </c>
      <c r="AP104" s="217" t="s">
        <v>1977</v>
      </c>
      <c r="AQ104" s="218">
        <v>44929</v>
      </c>
      <c r="AR104" s="220" t="str">
        <f t="shared" ca="1" si="51"/>
        <v>DESATUALIZADA</v>
      </c>
      <c r="AS104" s="229"/>
      <c r="AT104" s="231"/>
      <c r="AU104" s="194"/>
      <c r="AV104" s="217"/>
      <c r="AW104" s="218"/>
      <c r="AX104" s="220" t="str">
        <f t="shared" ca="1" si="52"/>
        <v/>
      </c>
      <c r="AY104" s="229"/>
      <c r="AZ104" s="234"/>
      <c r="BA104" s="209" t="str">
        <f>IF(AND(OR(AY104="",AY104=0),OR(AY104="",AZ104=0)),"",IF(OR(AY104="",AY104=0),"DEFINIR PREÇO",IF(OR(AZ104="",AZ104=0),"DEFINIR FORNECEDOR",IF(OR(AY104&lt;&gt;"",AY104&lt;&gt;0),VLOOKUP(AZ104,#REF!,2,FALSE)))))</f>
        <v/>
      </c>
      <c r="BB104" s="217"/>
      <c r="BC104" s="218"/>
      <c r="BD104" s="220" t="str">
        <f t="shared" ca="1" si="53"/>
        <v/>
      </c>
      <c r="BE104" s="195"/>
      <c r="BF104" s="196"/>
      <c r="BG104" s="194"/>
      <c r="BH104" s="192"/>
      <c r="BI104" s="192"/>
      <c r="BJ104" s="193"/>
    </row>
    <row r="105" spans="1:62" ht="30" x14ac:dyDescent="0.25">
      <c r="A105" s="44" t="s">
        <v>405</v>
      </c>
      <c r="B105" s="45" t="s">
        <v>46</v>
      </c>
      <c r="C105" s="45">
        <v>4</v>
      </c>
      <c r="D105" s="55" t="s">
        <v>45</v>
      </c>
      <c r="E105" s="45" t="s">
        <v>23</v>
      </c>
      <c r="F105" s="46" t="str">
        <f t="shared" si="69"/>
        <v>DEFINIR CRITÉRIO</v>
      </c>
      <c r="G105" s="47" t="str">
        <f t="shared" si="70"/>
        <v>DEFINIR CRITÉRIO</v>
      </c>
      <c r="H105" s="240" t="s">
        <v>2000</v>
      </c>
      <c r="I105" s="240" t="s">
        <v>2001</v>
      </c>
      <c r="J105" s="242" t="str">
        <f>IFERROR(IF(N105&lt;&gt;"",M105,IF(I105 = PARÂMETROS!$B$5,Q105, IF(I105 = PARÂMETROS!$B$6,R105,IF(I105 = PARÂMETROS!$B$7,S105,IF(I105 = PARÂMETROS!$B$8, T105,"DEFINIR CRITÉRIO"))))),"SEM PREÇO")</f>
        <v>DEFINIR CRITÉRIO</v>
      </c>
      <c r="K105" s="241" t="str">
        <f t="shared" si="42"/>
        <v/>
      </c>
      <c r="L105" s="238" t="str">
        <f t="shared" si="43"/>
        <v/>
      </c>
      <c r="M105" s="51"/>
      <c r="N105" s="52"/>
      <c r="O105" s="53"/>
      <c r="P105" s="235">
        <f t="shared" si="44"/>
        <v>377.0333333333333</v>
      </c>
      <c r="Q105" s="236">
        <f t="shared" si="45"/>
        <v>0</v>
      </c>
      <c r="R105" s="236">
        <f t="shared" si="46"/>
        <v>0</v>
      </c>
      <c r="S105" s="236">
        <f t="shared" si="47"/>
        <v>0</v>
      </c>
      <c r="T105" s="236">
        <f t="shared" si="48"/>
        <v>0</v>
      </c>
      <c r="U105" s="237" t="e">
        <f>IF(AA105 = "", "", IF(OR($H105 = PARÂMETROS!$E$5, $H105 = ""), AA105, IF(OR(AA105 &lt; (1-VLOOKUP($H105,PARÂMETROS!$E:$F,2,FALSE))*$P105, AA105 &gt; (1+VLOOKUP($H105,PARÂMETROS!$E:$F,2,FALSE))*$P105),"",AA105)))</f>
        <v>#N/A</v>
      </c>
      <c r="V105" s="237" t="e">
        <f>IF(AG105 = "", "", IF(OR($H105 = PARÂMETROS!$E$5, $H105 = ""), AG105, IF(OR(AG105 &lt; (1-VLOOKUP($H105,PARÂMETROS!$E:$F,2,FALSE))*$P110, AG105 &gt; (1+VLOOKUP($H105,PARÂMETROS!$E:$F,2,FALSE))*$P105),"",AG105)))</f>
        <v>#N/A</v>
      </c>
      <c r="W105" s="237" t="e">
        <f>IF(AM105 = "", "", IF(OR($H105 = PARÂMETROS!$E$5, $H105 = ""), AM105, IF(OR(AM105 &lt; (1-VLOOKUP($H105,PARÂMETROS!$E:$F,2,FALSE))*$P105, AM105 &gt; (1+VLOOKUP($H105,PARÂMETROS!$E:$F,2,FALSE))*$P105),"",AM105)))</f>
        <v>#N/A</v>
      </c>
      <c r="X105" s="237" t="str">
        <f>IF(AS105 = "", "", IF(OR($H105 = PARÂMETROS!$E$5, $H105 = ""), AS105, IF(OR(AS105 &lt; (1-VLOOKUP($H105,PARÂMETROS!$E:$F,2,FALSE))*$P105, AS105 &gt; (1+VLOOKUP($H105,PARÂMETROS!$E:$F,2,FALSE))*$P105),"",AS105)))</f>
        <v/>
      </c>
      <c r="Y105" s="237" t="str">
        <f>IF(AY105 = "", "", IF(OR($H105 = PARÂMETROS!$E$5, $H105 = ""), AY105, IF(OR(AY105 &lt; (1-VLOOKUP($H105,PARÂMETROS!$E:$F,2,FALSE))*$P105, AY105 &gt; (1+VLOOKUP($H105,PARÂMETROS!$E:$F,2,FALSE))*$P105),"",AY105)))</f>
        <v/>
      </c>
      <c r="Z105" s="237" t="str">
        <f>IF(BE105 = "", "", IF(OR($H105 = PARÂMETROS!$E$5, $H105 = ""), BE105, IF(OR(BE105 &lt; (1-VLOOKUP($H105,PARÂMETROS!$E:$F,2,FALSE))*$P105, BE105 &gt; (1+VLOOKUP($H105,PARÂMETROS!$E:$F,2,FALSE))*$P105),"",BE105)))</f>
        <v/>
      </c>
      <c r="AA105" s="207">
        <v>320</v>
      </c>
      <c r="AB105" s="208">
        <v>1534</v>
      </c>
      <c r="AC105" s="206" t="e">
        <f>IF(AND(OR(AA105="",AA105=0),OR(AA105="",AB105=0)),"",IF(OR(AA105="",AA105=0),"DEFINIR PREÇO",IF(OR(AB105="",AB105=0),"DEFINIR FORNECEDOR",IF(OR(AA105&lt;&gt;"",AA105&lt;&gt;0),VLOOKUP(AB105,#REF!,2,FALSE)))))</f>
        <v>#REF!</v>
      </c>
      <c r="AD105" s="217" t="s">
        <v>1977</v>
      </c>
      <c r="AE105" s="218">
        <v>44929</v>
      </c>
      <c r="AF105" s="220" t="str">
        <f t="shared" ca="1" si="49"/>
        <v>DESATUALIZADA</v>
      </c>
      <c r="AG105" s="229">
        <v>525</v>
      </c>
      <c r="AH105" s="231">
        <v>824</v>
      </c>
      <c r="AI105" s="206" t="e">
        <f>IF(AND(OR(AG105="",AG105=0),OR(AG105="",AH105=0)),"",IF(OR(AG105="",AG105=0),"DEFINIR PREÇO",IF(OR(AH105="",AH105=0),"DEFINIR FORNECEDOR",IF(OR(AG105&lt;&gt;"",AG105&lt;&gt;0),VLOOKUP(AH105,#REF!,2,FALSE)))))</f>
        <v>#REF!</v>
      </c>
      <c r="AJ105" s="217" t="s">
        <v>1977</v>
      </c>
      <c r="AK105" s="218">
        <v>44929</v>
      </c>
      <c r="AL105" s="220" t="str">
        <f t="shared" ca="1" si="50"/>
        <v>DESATUALIZADA</v>
      </c>
      <c r="AM105" s="229">
        <v>286.10000000000002</v>
      </c>
      <c r="AN105" s="231">
        <v>1044</v>
      </c>
      <c r="AO105" s="206" t="e">
        <f>IF(AND(OR(AM105="",AM105=0),OR(AM105="",AN105=0)),"",IF(OR(AM105="",AM105=0),"DEFINIR PREÇO",IF(OR(AN105="",AN105=0),"DEFINIR FORNECEDOR",IF(OR(AM105&lt;&gt;"",AM105&lt;&gt;0),VLOOKUP(AN105,#REF!,2,FALSE)))))</f>
        <v>#REF!</v>
      </c>
      <c r="AP105" s="217" t="s">
        <v>1977</v>
      </c>
      <c r="AQ105" s="218">
        <v>44929</v>
      </c>
      <c r="AR105" s="220" t="str">
        <f t="shared" ca="1" si="51"/>
        <v>DESATUALIZADA</v>
      </c>
      <c r="AS105" s="229"/>
      <c r="AT105" s="231"/>
      <c r="AU105" s="194"/>
      <c r="AV105" s="217"/>
      <c r="AW105" s="218"/>
      <c r="AX105" s="220" t="str">
        <f t="shared" ca="1" si="52"/>
        <v/>
      </c>
      <c r="AY105" s="229"/>
      <c r="AZ105" s="234"/>
      <c r="BA105" s="209" t="str">
        <f>IF(AND(OR(AY105="",AY105=0),OR(AY105="",AZ105=0)),"",IF(OR(AY105="",AY105=0),"DEFINIR PREÇO",IF(OR(AZ105="",AZ105=0),"DEFINIR FORNECEDOR",IF(OR(AY105&lt;&gt;"",AY105&lt;&gt;0),VLOOKUP(AZ105,#REF!,2,FALSE)))))</f>
        <v/>
      </c>
      <c r="BB105" s="217"/>
      <c r="BC105" s="218"/>
      <c r="BD105" s="220" t="str">
        <f t="shared" ca="1" si="53"/>
        <v/>
      </c>
      <c r="BE105" s="195"/>
      <c r="BF105" s="196"/>
      <c r="BG105" s="194"/>
      <c r="BH105" s="192"/>
      <c r="BI105" s="192"/>
      <c r="BJ105" s="193"/>
    </row>
    <row r="106" spans="1:62" ht="30" x14ac:dyDescent="0.25">
      <c r="A106" s="44" t="s">
        <v>405</v>
      </c>
      <c r="B106" s="45" t="s">
        <v>48</v>
      </c>
      <c r="C106" s="45">
        <v>4</v>
      </c>
      <c r="D106" s="55" t="s">
        <v>47</v>
      </c>
      <c r="E106" s="45" t="s">
        <v>23</v>
      </c>
      <c r="F106" s="46" t="str">
        <f t="shared" si="69"/>
        <v>DEFINIR CRITÉRIO</v>
      </c>
      <c r="G106" s="47" t="str">
        <f t="shared" si="70"/>
        <v>DEFINIR CRITÉRIO</v>
      </c>
      <c r="H106" s="240" t="s">
        <v>2000</v>
      </c>
      <c r="I106" s="240" t="s">
        <v>1999</v>
      </c>
      <c r="J106" s="242" t="str">
        <f>IFERROR(IF(N106&lt;&gt;"",M106,IF(I106 = PARÂMETROS!$B$5,Q106, IF(I106 = PARÂMETROS!$B$6,R106,IF(I106 = PARÂMETROS!$B$7,S106,IF(I106 = PARÂMETROS!$B$8, T106,"DEFINIR CRITÉRIO"))))),"SEM PREÇO")</f>
        <v>DEFINIR CRITÉRIO</v>
      </c>
      <c r="K106" s="241" t="str">
        <f t="shared" si="42"/>
        <v/>
      </c>
      <c r="L106" s="238" t="str">
        <f t="shared" si="43"/>
        <v/>
      </c>
      <c r="M106" s="51"/>
      <c r="N106" s="52"/>
      <c r="O106" s="53"/>
      <c r="P106" s="235">
        <f t="shared" si="44"/>
        <v>144.60333333333332</v>
      </c>
      <c r="Q106" s="236">
        <f t="shared" si="45"/>
        <v>0</v>
      </c>
      <c r="R106" s="236">
        <f t="shared" si="46"/>
        <v>0</v>
      </c>
      <c r="S106" s="236">
        <f t="shared" si="47"/>
        <v>0</v>
      </c>
      <c r="T106" s="236">
        <f t="shared" si="48"/>
        <v>0</v>
      </c>
      <c r="U106" s="237" t="e">
        <f>IF(AA106 = "", "", IF(OR($H106 = PARÂMETROS!$E$5, $H106 = ""), AA106, IF(OR(AA106 &lt; (1-VLOOKUP($H106,PARÂMETROS!$E:$F,2,FALSE))*$P106, AA106 &gt; (1+VLOOKUP($H106,PARÂMETROS!$E:$F,2,FALSE))*$P106),"",AA106)))</f>
        <v>#N/A</v>
      </c>
      <c r="V106" s="237" t="e">
        <f>IF(AG106 = "", "", IF(OR($H106 = PARÂMETROS!$E$5, $H106 = ""), AG106, IF(OR(AG106 &lt; (1-VLOOKUP($H106,PARÂMETROS!$E:$F,2,FALSE))*$P111, AG106 &gt; (1+VLOOKUP($H106,PARÂMETROS!$E:$F,2,FALSE))*$P106),"",AG106)))</f>
        <v>#N/A</v>
      </c>
      <c r="W106" s="237" t="e">
        <f>IF(AM106 = "", "", IF(OR($H106 = PARÂMETROS!$E$5, $H106 = ""), AM106, IF(OR(AM106 &lt; (1-VLOOKUP($H106,PARÂMETROS!$E:$F,2,FALSE))*$P106, AM106 &gt; (1+VLOOKUP($H106,PARÂMETROS!$E:$F,2,FALSE))*$P106),"",AM106)))</f>
        <v>#N/A</v>
      </c>
      <c r="X106" s="237" t="str">
        <f>IF(AS106 = "", "", IF(OR($H106 = PARÂMETROS!$E$5, $H106 = ""), AS106, IF(OR(AS106 &lt; (1-VLOOKUP($H106,PARÂMETROS!$E:$F,2,FALSE))*$P106, AS106 &gt; (1+VLOOKUP($H106,PARÂMETROS!$E:$F,2,FALSE))*$P106),"",AS106)))</f>
        <v/>
      </c>
      <c r="Y106" s="237" t="str">
        <f>IF(AY106 = "", "", IF(OR($H106 = PARÂMETROS!$E$5, $H106 = ""), AY106, IF(OR(AY106 &lt; (1-VLOOKUP($H106,PARÂMETROS!$E:$F,2,FALSE))*$P106, AY106 &gt; (1+VLOOKUP($H106,PARÂMETROS!$E:$F,2,FALSE))*$P106),"",AY106)))</f>
        <v/>
      </c>
      <c r="Z106" s="237" t="str">
        <f>IF(BE106 = "", "", IF(OR($H106 = PARÂMETROS!$E$5, $H106 = ""), BE106, IF(OR(BE106 &lt; (1-VLOOKUP($H106,PARÂMETROS!$E:$F,2,FALSE))*$P106, BE106 &gt; (1+VLOOKUP($H106,PARÂMETROS!$E:$F,2,FALSE))*$P106),"",BE106)))</f>
        <v/>
      </c>
      <c r="AA106" s="207">
        <v>155</v>
      </c>
      <c r="AB106" s="208">
        <v>1534</v>
      </c>
      <c r="AC106" s="206" t="e">
        <f>IF(AND(OR(AA106="",AA106=0),OR(AA106="",AB106=0)),"",IF(OR(AA106="",AA106=0),"DEFINIR PREÇO",IF(OR(AB106="",AB106=0),"DEFINIR FORNECEDOR",IF(OR(AA106&lt;&gt;"",AA106&lt;&gt;0),VLOOKUP(AB106,#REF!,2,FALSE)))))</f>
        <v>#REF!</v>
      </c>
      <c r="AD106" s="217" t="s">
        <v>1977</v>
      </c>
      <c r="AE106" s="218">
        <v>44929</v>
      </c>
      <c r="AF106" s="220" t="str">
        <f t="shared" ca="1" si="49"/>
        <v>DESATUALIZADA</v>
      </c>
      <c r="AG106" s="229">
        <v>168.41</v>
      </c>
      <c r="AH106" s="231">
        <v>824</v>
      </c>
      <c r="AI106" s="206" t="e">
        <f>IF(AND(OR(AG106="",AG106=0),OR(AG106="",AH106=0)),"",IF(OR(AG106="",AG106=0),"DEFINIR PREÇO",IF(OR(AH106="",AH106=0),"DEFINIR FORNECEDOR",IF(OR(AG106&lt;&gt;"",AG106&lt;&gt;0),VLOOKUP(AH106,#REF!,2,FALSE)))))</f>
        <v>#REF!</v>
      </c>
      <c r="AJ106" s="217" t="s">
        <v>1977</v>
      </c>
      <c r="AK106" s="218">
        <v>44929</v>
      </c>
      <c r="AL106" s="220" t="str">
        <f t="shared" ca="1" si="50"/>
        <v>DESATUALIZADA</v>
      </c>
      <c r="AM106" s="229">
        <v>110.4</v>
      </c>
      <c r="AN106" s="231">
        <v>1043</v>
      </c>
      <c r="AO106" s="206" t="e">
        <f>IF(AND(OR(AM106="",AM106=0),OR(AM106="",AN106=0)),"",IF(OR(AM106="",AM106=0),"DEFINIR PREÇO",IF(OR(AN106="",AN106=0),"DEFINIR FORNECEDOR",IF(OR(AM106&lt;&gt;"",AM106&lt;&gt;0),VLOOKUP(AN106,#REF!,2,FALSE)))))</f>
        <v>#REF!</v>
      </c>
      <c r="AP106" s="217" t="s">
        <v>1977</v>
      </c>
      <c r="AQ106" s="218">
        <v>44929</v>
      </c>
      <c r="AR106" s="220" t="str">
        <f t="shared" ca="1" si="51"/>
        <v>DESATUALIZADA</v>
      </c>
      <c r="AS106" s="229"/>
      <c r="AT106" s="231"/>
      <c r="AU106" s="194"/>
      <c r="AV106" s="217"/>
      <c r="AW106" s="218"/>
      <c r="AX106" s="220" t="str">
        <f t="shared" ca="1" si="52"/>
        <v/>
      </c>
      <c r="AY106" s="229"/>
      <c r="AZ106" s="234"/>
      <c r="BA106" s="209" t="str">
        <f>IF(AND(OR(AY106="",AY106=0),OR(AY106="",AZ106=0)),"",IF(OR(AY106="",AY106=0),"DEFINIR PREÇO",IF(OR(AZ106="",AZ106=0),"DEFINIR FORNECEDOR",IF(OR(AY106&lt;&gt;"",AY106&lt;&gt;0),VLOOKUP(AZ106,#REF!,2,FALSE)))))</f>
        <v/>
      </c>
      <c r="BB106" s="217"/>
      <c r="BC106" s="218"/>
      <c r="BD106" s="220" t="str">
        <f t="shared" ca="1" si="53"/>
        <v/>
      </c>
      <c r="BE106" s="195"/>
      <c r="BF106" s="196"/>
      <c r="BG106" s="194"/>
      <c r="BH106" s="192"/>
      <c r="BI106" s="192"/>
      <c r="BJ106" s="193"/>
    </row>
    <row r="107" spans="1:62" x14ac:dyDescent="0.25">
      <c r="A107" s="44" t="s">
        <v>405</v>
      </c>
      <c r="B107" s="45" t="s">
        <v>42</v>
      </c>
      <c r="C107" s="45">
        <v>4</v>
      </c>
      <c r="D107" s="55" t="s">
        <v>41</v>
      </c>
      <c r="E107" s="45" t="s">
        <v>23</v>
      </c>
      <c r="F107" s="46" t="str">
        <f t="shared" si="69"/>
        <v>SEM PREÇO</v>
      </c>
      <c r="G107" s="47" t="str">
        <f t="shared" si="70"/>
        <v>SEM PREÇO</v>
      </c>
      <c r="H107" s="240" t="s">
        <v>2000</v>
      </c>
      <c r="I107" s="240" t="s">
        <v>2001</v>
      </c>
      <c r="J107" s="242" t="str">
        <f>IFERROR(IF(N107&lt;&gt;"",M107,IF(I107 = PARÂMETROS!$B$5,Q107, IF(I107 = PARÂMETROS!$B$6,R107,IF(I107 = PARÂMETROS!$B$7,S107,IF(I107 = PARÂMETROS!$B$8, T107,"DEFINIR CRITÉRIO"))))),"SEM PREÇO")</f>
        <v>SEM PREÇO</v>
      </c>
      <c r="K107" s="241">
        <f t="shared" si="42"/>
        <v>0</v>
      </c>
      <c r="L107" s="238" t="str">
        <f t="shared" si="43"/>
        <v/>
      </c>
      <c r="M107" s="51" t="e">
        <f>VLOOKUP(N107,#REF!,4,FALSE)</f>
        <v>#REF!</v>
      </c>
      <c r="N107" s="52">
        <v>34498</v>
      </c>
      <c r="O107" s="53" t="s">
        <v>404</v>
      </c>
      <c r="P107" s="235">
        <f t="shared" si="44"/>
        <v>0</v>
      </c>
      <c r="Q107" s="236">
        <f t="shared" si="45"/>
        <v>0</v>
      </c>
      <c r="R107" s="236">
        <f t="shared" si="46"/>
        <v>0</v>
      </c>
      <c r="S107" s="236">
        <f t="shared" si="47"/>
        <v>0</v>
      </c>
      <c r="T107" s="236">
        <f t="shared" si="48"/>
        <v>0</v>
      </c>
      <c r="U107" s="237" t="str">
        <f>IF(AA107 = "", "", IF(OR($H107 = PARÂMETROS!$E$5, $H107 = ""), AA107, IF(OR(AA107 &lt; (1-VLOOKUP($H107,PARÂMETROS!$E:$F,2,FALSE))*$P107, AA107 &gt; (1+VLOOKUP($H107,PARÂMETROS!$E:$F,2,FALSE))*$P107),"",AA107)))</f>
        <v/>
      </c>
      <c r="V107" s="237" t="str">
        <f>IF(AG107 = "", "", IF(OR($H107 = PARÂMETROS!$E$5, $H107 = ""), AG107, IF(OR(AG107 &lt; (1-VLOOKUP($H107,PARÂMETROS!$E:$F,2,FALSE))*$P112, AG107 &gt; (1+VLOOKUP($H107,PARÂMETROS!$E:$F,2,FALSE))*$P107),"",AG107)))</f>
        <v/>
      </c>
      <c r="W107" s="237" t="str">
        <f>IF(AM107 = "", "", IF(OR($H107 = PARÂMETROS!$E$5, $H107 = ""), AM107, IF(OR(AM107 &lt; (1-VLOOKUP($H107,PARÂMETROS!$E:$F,2,FALSE))*$P107, AM107 &gt; (1+VLOOKUP($H107,PARÂMETROS!$E:$F,2,FALSE))*$P107),"",AM107)))</f>
        <v/>
      </c>
      <c r="X107" s="237" t="str">
        <f>IF(AS107 = "", "", IF(OR($H107 = PARÂMETROS!$E$5, $H107 = ""), AS107, IF(OR(AS107 &lt; (1-VLOOKUP($H107,PARÂMETROS!$E:$F,2,FALSE))*$P107, AS107 &gt; (1+VLOOKUP($H107,PARÂMETROS!$E:$F,2,FALSE))*$P107),"",AS107)))</f>
        <v/>
      </c>
      <c r="Y107" s="237" t="str">
        <f>IF(AY107 = "", "", IF(OR($H107 = PARÂMETROS!$E$5, $H107 = ""), AY107, IF(OR(AY107 &lt; (1-VLOOKUP($H107,PARÂMETROS!$E:$F,2,FALSE))*$P107, AY107 &gt; (1+VLOOKUP($H107,PARÂMETROS!$E:$F,2,FALSE))*$P107),"",AY107)))</f>
        <v/>
      </c>
      <c r="Z107" s="237" t="str">
        <f>IF(BE107 = "", "", IF(OR($H107 = PARÂMETROS!$E$5, $H107 = ""), BE107, IF(OR(BE107 &lt; (1-VLOOKUP($H107,PARÂMETROS!$E:$F,2,FALSE))*$P107, BE107 &gt; (1+VLOOKUP($H107,PARÂMETROS!$E:$F,2,FALSE))*$P107),"",BE107)))</f>
        <v/>
      </c>
      <c r="AA107" s="207"/>
      <c r="AB107" s="208"/>
      <c r="AC107" s="206" t="str">
        <f>IF(AND(OR(AA107="",AA107=0),OR(AA107="",AB107=0)),"",IF(OR(AA107="",AA107=0),"DEFINIR PREÇO",IF(OR(AB107="",AB107=0),"DEFINIR FORNECEDOR",IF(OR(AA107&lt;&gt;"",AA107&lt;&gt;0),VLOOKUP(AB107,#REF!,2,FALSE)))))</f>
        <v/>
      </c>
      <c r="AD107" s="217"/>
      <c r="AE107" s="218"/>
      <c r="AF107" s="220" t="str">
        <f t="shared" ca="1" si="49"/>
        <v/>
      </c>
      <c r="AG107" s="229"/>
      <c r="AH107" s="231"/>
      <c r="AI107" s="206" t="str">
        <f>IF(AND(OR(AG107="",AG107=0),OR(AG107="",AH107=0)),"",IF(OR(AG107="",AG107=0),"DEFINIR PREÇO",IF(OR(AH107="",AH107=0),"DEFINIR FORNECEDOR",IF(OR(AG107&lt;&gt;"",AG107&lt;&gt;0),VLOOKUP(AH107,#REF!,2,FALSE)))))</f>
        <v/>
      </c>
      <c r="AJ107" s="217"/>
      <c r="AK107" s="218"/>
      <c r="AL107" s="220" t="str">
        <f t="shared" ca="1" si="50"/>
        <v/>
      </c>
      <c r="AM107" s="229"/>
      <c r="AN107" s="231"/>
      <c r="AO107" s="206" t="str">
        <f>IF(AND(OR(AM107="",AM107=0),OR(AM107="",AN107=0)),"",IF(OR(AM107="",AM107=0),"DEFINIR PREÇO",IF(OR(AN107="",AN107=0),"DEFINIR FORNECEDOR",IF(OR(AM107&lt;&gt;"",AM107&lt;&gt;0),VLOOKUP(AN107,#REF!,2,FALSE)))))</f>
        <v/>
      </c>
      <c r="AP107" s="217"/>
      <c r="AQ107" s="218"/>
      <c r="AR107" s="220" t="str">
        <f t="shared" ca="1" si="51"/>
        <v/>
      </c>
      <c r="AS107" s="229"/>
      <c r="AT107" s="231"/>
      <c r="AU107" s="194"/>
      <c r="AV107" s="217"/>
      <c r="AW107" s="218"/>
      <c r="AX107" s="220" t="str">
        <f t="shared" ca="1" si="52"/>
        <v/>
      </c>
      <c r="AY107" s="229"/>
      <c r="AZ107" s="234"/>
      <c r="BA107" s="209" t="str">
        <f>IF(AND(OR(AY107="",AY107=0),OR(AY107="",AZ107=0)),"",IF(OR(AY107="",AY107=0),"DEFINIR PREÇO",IF(OR(AZ107="",AZ107=0),"DEFINIR FORNECEDOR",IF(OR(AY107&lt;&gt;"",AY107&lt;&gt;0),VLOOKUP(AZ107,#REF!,2,FALSE)))))</f>
        <v/>
      </c>
      <c r="BB107" s="217"/>
      <c r="BC107" s="218"/>
      <c r="BD107" s="220" t="str">
        <f t="shared" ca="1" si="53"/>
        <v/>
      </c>
      <c r="BE107" s="195"/>
      <c r="BF107" s="196"/>
      <c r="BG107" s="194"/>
      <c r="BH107" s="192"/>
      <c r="BI107" s="192"/>
      <c r="BJ107" s="193"/>
    </row>
    <row r="108" spans="1:62" ht="25.5" x14ac:dyDescent="0.25">
      <c r="A108" s="44" t="s">
        <v>405</v>
      </c>
      <c r="B108" s="58" t="s">
        <v>384</v>
      </c>
      <c r="C108" s="45">
        <v>4</v>
      </c>
      <c r="D108" s="138" t="s">
        <v>368</v>
      </c>
      <c r="E108" s="45" t="s">
        <v>26</v>
      </c>
      <c r="F108" s="46" t="e">
        <f>VLOOKUP(B108,#REF!,4,FALSE)</f>
        <v>#REF!</v>
      </c>
      <c r="G108" s="47" t="e">
        <f>VLOOKUP(B108,#REF!,4,FALSE)</f>
        <v>#REF!</v>
      </c>
      <c r="H108" s="240" t="s">
        <v>2000</v>
      </c>
      <c r="I108" s="240" t="s">
        <v>2001</v>
      </c>
      <c r="J108" s="242">
        <f>SUM(J109:J126)</f>
        <v>0</v>
      </c>
      <c r="K108" s="241">
        <f t="shared" si="42"/>
        <v>0</v>
      </c>
      <c r="L108" s="238" t="str">
        <f t="shared" si="43"/>
        <v/>
      </c>
      <c r="M108" s="51"/>
      <c r="N108" s="52"/>
      <c r="O108" s="53"/>
      <c r="P108" s="235">
        <f t="shared" si="44"/>
        <v>0</v>
      </c>
      <c r="Q108" s="236">
        <f t="shared" si="45"/>
        <v>0</v>
      </c>
      <c r="R108" s="236">
        <f t="shared" si="46"/>
        <v>0</v>
      </c>
      <c r="S108" s="236">
        <f t="shared" si="47"/>
        <v>0</v>
      </c>
      <c r="T108" s="236">
        <f t="shared" si="48"/>
        <v>0</v>
      </c>
      <c r="U108" s="237" t="str">
        <f>IF(AA108 = "", "", IF(OR($H108 = PARÂMETROS!$E$5, $H108 = ""), AA108, IF(OR(AA108 &lt; (1-VLOOKUP($H108,PARÂMETROS!$E:$F,2,FALSE))*$P108, AA108 &gt; (1+VLOOKUP($H108,PARÂMETROS!$E:$F,2,FALSE))*$P108),"",AA108)))</f>
        <v/>
      </c>
      <c r="V108" s="237" t="str">
        <f>IF(AG108 = "", "", IF(OR($H108 = PARÂMETROS!$E$5, $H108 = ""), AG108, IF(OR(AG108 &lt; (1-VLOOKUP($H108,PARÂMETROS!$E:$F,2,FALSE))*$P113, AG108 &gt; (1+VLOOKUP($H108,PARÂMETROS!$E:$F,2,FALSE))*$P108),"",AG108)))</f>
        <v/>
      </c>
      <c r="W108" s="237" t="str">
        <f>IF(AM108 = "", "", IF(OR($H108 = PARÂMETROS!$E$5, $H108 = ""), AM108, IF(OR(AM108 &lt; (1-VLOOKUP($H108,PARÂMETROS!$E:$F,2,FALSE))*$P108, AM108 &gt; (1+VLOOKUP($H108,PARÂMETROS!$E:$F,2,FALSE))*$P108),"",AM108)))</f>
        <v/>
      </c>
      <c r="X108" s="237" t="str">
        <f>IF(AS108 = "", "", IF(OR($H108 = PARÂMETROS!$E$5, $H108 = ""), AS108, IF(OR(AS108 &lt; (1-VLOOKUP($H108,PARÂMETROS!$E:$F,2,FALSE))*$P108, AS108 &gt; (1+VLOOKUP($H108,PARÂMETROS!$E:$F,2,FALSE))*$P108),"",AS108)))</f>
        <v/>
      </c>
      <c r="Y108" s="237" t="str">
        <f>IF(AY108 = "", "", IF(OR($H108 = PARÂMETROS!$E$5, $H108 = ""), AY108, IF(OR(AY108 &lt; (1-VLOOKUP($H108,PARÂMETROS!$E:$F,2,FALSE))*$P108, AY108 &gt; (1+VLOOKUP($H108,PARÂMETROS!$E:$F,2,FALSE))*$P108),"",AY108)))</f>
        <v/>
      </c>
      <c r="Z108" s="237" t="str">
        <f>IF(BE108 = "", "", IF(OR($H108 = PARÂMETROS!$E$5, $H108 = ""), BE108, IF(OR(BE108 &lt; (1-VLOOKUP($H108,PARÂMETROS!$E:$F,2,FALSE))*$P108, BE108 &gt; (1+VLOOKUP($H108,PARÂMETROS!$E:$F,2,FALSE))*$P108),"",BE108)))</f>
        <v/>
      </c>
      <c r="AA108" s="207"/>
      <c r="AB108" s="208"/>
      <c r="AC108" s="206" t="str">
        <f>IF(AND(OR(AA108="",AA108=0),OR(AA108="",AB108=0)),"",IF(OR(AA108="",AA108=0),"DEFINIR PREÇO",IF(OR(AB108="",AB108=0),"DEFINIR FORNECEDOR",IF(OR(AA108&lt;&gt;"",AA108&lt;&gt;0),VLOOKUP(AB108,#REF!,2,FALSE)))))</f>
        <v/>
      </c>
      <c r="AD108" s="217"/>
      <c r="AE108" s="218"/>
      <c r="AF108" s="220" t="str">
        <f t="shared" ca="1" si="49"/>
        <v/>
      </c>
      <c r="AG108" s="229"/>
      <c r="AH108" s="231"/>
      <c r="AI108" s="206" t="str">
        <f>IF(AND(OR(AG108="",AG108=0),OR(AG108="",AH108=0)),"",IF(OR(AG108="",AG108=0),"DEFINIR PREÇO",IF(OR(AH108="",AH108=0),"DEFINIR FORNECEDOR",IF(OR(AG108&lt;&gt;"",AG108&lt;&gt;0),VLOOKUP(AH108,#REF!,2,FALSE)))))</f>
        <v/>
      </c>
      <c r="AJ108" s="217"/>
      <c r="AK108" s="218"/>
      <c r="AL108" s="220" t="str">
        <f t="shared" ca="1" si="50"/>
        <v/>
      </c>
      <c r="AM108" s="229"/>
      <c r="AN108" s="231"/>
      <c r="AO108" s="206" t="str">
        <f>IF(AND(OR(AM108="",AM108=0),OR(AM108="",AN108=0)),"",IF(OR(AM108="",AM108=0),"DEFINIR PREÇO",IF(OR(AN108="",AN108=0),"DEFINIR FORNECEDOR",IF(OR(AM108&lt;&gt;"",AM108&lt;&gt;0),VLOOKUP(AN108,#REF!,2,FALSE)))))</f>
        <v/>
      </c>
      <c r="AP108" s="217"/>
      <c r="AQ108" s="218"/>
      <c r="AR108" s="220" t="str">
        <f t="shared" ca="1" si="51"/>
        <v/>
      </c>
      <c r="AS108" s="229"/>
      <c r="AT108" s="231"/>
      <c r="AU108" s="194"/>
      <c r="AV108" s="217"/>
      <c r="AW108" s="218"/>
      <c r="AX108" s="220" t="str">
        <f t="shared" ca="1" si="52"/>
        <v/>
      </c>
      <c r="AY108" s="229"/>
      <c r="AZ108" s="234"/>
      <c r="BA108" s="209" t="str">
        <f>IF(AND(OR(AY108="",AY108=0),OR(AY108="",AZ108=0)),"",IF(OR(AY108="",AY108=0),"DEFINIR PREÇO",IF(OR(AZ108="",AZ108=0),"DEFINIR FORNECEDOR",IF(OR(AY108&lt;&gt;"",AY108&lt;&gt;0),VLOOKUP(AZ108,#REF!,2,FALSE)))))</f>
        <v/>
      </c>
      <c r="BB108" s="217"/>
      <c r="BC108" s="218"/>
      <c r="BD108" s="220" t="str">
        <f t="shared" ca="1" si="53"/>
        <v/>
      </c>
      <c r="BE108" s="195"/>
      <c r="BF108" s="196"/>
      <c r="BG108" s="194"/>
      <c r="BH108" s="194"/>
      <c r="BI108" s="194"/>
      <c r="BJ108" s="197"/>
    </row>
    <row r="109" spans="1:62" ht="30" x14ac:dyDescent="0.25">
      <c r="A109" s="44" t="s">
        <v>405</v>
      </c>
      <c r="B109" s="58"/>
      <c r="C109" s="45"/>
      <c r="D109" s="177" t="s">
        <v>35</v>
      </c>
      <c r="E109" s="149" t="s">
        <v>23</v>
      </c>
      <c r="F109" s="46" t="str">
        <f>J109</f>
        <v>DEFINIR CRITÉRIO</v>
      </c>
      <c r="G109" s="47" t="str">
        <f>J109</f>
        <v>DEFINIR CRITÉRIO</v>
      </c>
      <c r="H109" s="240" t="s">
        <v>2000</v>
      </c>
      <c r="I109" s="240" t="s">
        <v>2001</v>
      </c>
      <c r="J109" s="242" t="str">
        <f>IFERROR(IF(N109&lt;&gt;"",M109,IF(I109 = PARÂMETROS!$B$5,Q109, IF(I109 = PARÂMETROS!$B$6,R109,IF(I109 = PARÂMETROS!$B$7,S109,IF(I109 = PARÂMETROS!$B$8, T109,"DEFINIR CRITÉRIO"))))),"SEM PREÇO")</f>
        <v>DEFINIR CRITÉRIO</v>
      </c>
      <c r="K109" s="241" t="str">
        <f t="shared" si="42"/>
        <v/>
      </c>
      <c r="L109" s="238" t="str">
        <f t="shared" si="43"/>
        <v/>
      </c>
      <c r="M109" s="51"/>
      <c r="N109" s="52"/>
      <c r="O109" s="53"/>
      <c r="P109" s="235">
        <f t="shared" si="44"/>
        <v>453.97666666666669</v>
      </c>
      <c r="Q109" s="236">
        <f t="shared" si="45"/>
        <v>0</v>
      </c>
      <c r="R109" s="236">
        <f t="shared" si="46"/>
        <v>0</v>
      </c>
      <c r="S109" s="236">
        <f t="shared" si="47"/>
        <v>0</v>
      </c>
      <c r="T109" s="236">
        <f t="shared" si="48"/>
        <v>0</v>
      </c>
      <c r="U109" s="237" t="e">
        <f>IF(AA109 = "", "", IF(OR($H109 = PARÂMETROS!$E$5, $H109 = ""), AA109, IF(OR(AA109 &lt; (1-VLOOKUP($H109,PARÂMETROS!$E:$F,2,FALSE))*$P109, AA109 &gt; (1+VLOOKUP($H109,PARÂMETROS!$E:$F,2,FALSE))*$P109),"",AA109)))</f>
        <v>#N/A</v>
      </c>
      <c r="V109" s="237" t="e">
        <f>IF(AG109 = "", "", IF(OR($H109 = PARÂMETROS!$E$5, $H109 = ""), AG109, IF(OR(AG109 &lt; (1-VLOOKUP($H109,PARÂMETROS!$E:$F,2,FALSE))*$P114, AG109 &gt; (1+VLOOKUP($H109,PARÂMETROS!$E:$F,2,FALSE))*$P109),"",AG109)))</f>
        <v>#N/A</v>
      </c>
      <c r="W109" s="237" t="e">
        <f>IF(AM109 = "", "", IF(OR($H109 = PARÂMETROS!$E$5, $H109 = ""), AM109, IF(OR(AM109 &lt; (1-VLOOKUP($H109,PARÂMETROS!$E:$F,2,FALSE))*$P109, AM109 &gt; (1+VLOOKUP($H109,PARÂMETROS!$E:$F,2,FALSE))*$P109),"",AM109)))</f>
        <v>#N/A</v>
      </c>
      <c r="X109" s="237" t="str">
        <f>IF(AS109 = "", "", IF(OR($H109 = PARÂMETROS!$E$5, $H109 = ""), AS109, IF(OR(AS109 &lt; (1-VLOOKUP($H109,PARÂMETROS!$E:$F,2,FALSE))*$P109, AS109 &gt; (1+VLOOKUP($H109,PARÂMETROS!$E:$F,2,FALSE))*$P109),"",AS109)))</f>
        <v/>
      </c>
      <c r="Y109" s="237" t="str">
        <f>IF(AY109 = "", "", IF(OR($H109 = PARÂMETROS!$E$5, $H109 = ""), AY109, IF(OR(AY109 &lt; (1-VLOOKUP($H109,PARÂMETROS!$E:$F,2,FALSE))*$P109, AY109 &gt; (1+VLOOKUP($H109,PARÂMETROS!$E:$F,2,FALSE))*$P109),"",AY109)))</f>
        <v/>
      </c>
      <c r="Z109" s="237" t="str">
        <f>IF(BE109 = "", "", IF(OR($H109 = PARÂMETROS!$E$5, $H109 = ""), BE109, IF(OR(BE109 &lt; (1-VLOOKUP($H109,PARÂMETROS!$E:$F,2,FALSE))*$P109, BE109 &gt; (1+VLOOKUP($H109,PARÂMETROS!$E:$F,2,FALSE))*$P109),"",BE109)))</f>
        <v/>
      </c>
      <c r="AA109" s="207">
        <v>565</v>
      </c>
      <c r="AB109" s="208">
        <v>1534</v>
      </c>
      <c r="AC109" s="206" t="e">
        <f>IF(AND(OR(AA109="",AA109=0),OR(AA109="",AB109=0)),"",IF(OR(AA109="",AA109=0),"DEFINIR PREÇO",IF(OR(AB109="",AB109=0),"DEFINIR FORNECEDOR",IF(OR(AA109&lt;&gt;"",AA109&lt;&gt;0),VLOOKUP(AB109,#REF!,2,FALSE)))))</f>
        <v>#REF!</v>
      </c>
      <c r="AD109" s="217" t="s">
        <v>1977</v>
      </c>
      <c r="AE109" s="218">
        <v>44929</v>
      </c>
      <c r="AF109" s="220" t="str">
        <f t="shared" ca="1" si="49"/>
        <v>DESATUALIZADA</v>
      </c>
      <c r="AG109" s="229">
        <v>421.93</v>
      </c>
      <c r="AH109" s="231">
        <v>824</v>
      </c>
      <c r="AI109" s="206" t="e">
        <f>IF(AND(OR(AG109="",AG109=0),OR(AG109="",AH109=0)),"",IF(OR(AG109="",AG109=0),"DEFINIR PREÇO",IF(OR(AH109="",AH109=0),"DEFINIR FORNECEDOR",IF(OR(AG109&lt;&gt;"",AG109&lt;&gt;0),VLOOKUP(AH109,#REF!,2,FALSE)))))</f>
        <v>#REF!</v>
      </c>
      <c r="AJ109" s="217" t="s">
        <v>1977</v>
      </c>
      <c r="AK109" s="218">
        <v>44929</v>
      </c>
      <c r="AL109" s="220" t="str">
        <f t="shared" ca="1" si="50"/>
        <v>DESATUALIZADA</v>
      </c>
      <c r="AM109" s="229">
        <v>375</v>
      </c>
      <c r="AN109" s="231">
        <v>1043</v>
      </c>
      <c r="AO109" s="206" t="e">
        <f>IF(AND(OR(AM109="",AM109=0),OR(AM109="",AN109=0)),"",IF(OR(AM109="",AM109=0),"DEFINIR PREÇO",IF(OR(AN109="",AN109=0),"DEFINIR FORNECEDOR",IF(OR(AM109&lt;&gt;"",AM109&lt;&gt;0),VLOOKUP(AN109,#REF!,2,FALSE)))))</f>
        <v>#REF!</v>
      </c>
      <c r="AP109" s="217" t="s">
        <v>1977</v>
      </c>
      <c r="AQ109" s="218">
        <v>44929</v>
      </c>
      <c r="AR109" s="220" t="str">
        <f t="shared" ca="1" si="51"/>
        <v>DESATUALIZADA</v>
      </c>
      <c r="AS109" s="229"/>
      <c r="AT109" s="231"/>
      <c r="AU109" s="194"/>
      <c r="AV109" s="217"/>
      <c r="AW109" s="218"/>
      <c r="AX109" s="220" t="str">
        <f t="shared" ca="1" si="52"/>
        <v/>
      </c>
      <c r="AY109" s="229"/>
      <c r="AZ109" s="234"/>
      <c r="BA109" s="209" t="str">
        <f>IF(AND(OR(AY109="",AY109=0),OR(AY109="",AZ109=0)),"",IF(OR(AY109="",AY109=0),"DEFINIR PREÇO",IF(OR(AZ109="",AZ109=0),"DEFINIR FORNECEDOR",IF(OR(AY109&lt;&gt;"",AY109&lt;&gt;0),VLOOKUP(AZ109,#REF!,2,FALSE)))))</f>
        <v/>
      </c>
      <c r="BB109" s="217"/>
      <c r="BC109" s="218"/>
      <c r="BD109" s="220" t="str">
        <f t="shared" ca="1" si="53"/>
        <v/>
      </c>
      <c r="BE109" s="195"/>
      <c r="BF109" s="196"/>
      <c r="BG109" s="194"/>
      <c r="BH109" s="194"/>
      <c r="BI109" s="194"/>
      <c r="BJ109" s="197"/>
    </row>
    <row r="110" spans="1:62" x14ac:dyDescent="0.25">
      <c r="A110" s="44" t="s">
        <v>405</v>
      </c>
      <c r="B110" s="58"/>
      <c r="C110" s="45"/>
      <c r="D110" s="177" t="s">
        <v>1046</v>
      </c>
      <c r="E110" s="149" t="s">
        <v>23</v>
      </c>
      <c r="F110" s="46" t="str">
        <f t="shared" ref="F110:F119" si="71">J110</f>
        <v>SEM PREÇO</v>
      </c>
      <c r="G110" s="47" t="str">
        <f t="shared" ref="G110:G126" si="72">J110</f>
        <v>SEM PREÇO</v>
      </c>
      <c r="H110" s="240" t="s">
        <v>2000</v>
      </c>
      <c r="I110" s="240" t="s">
        <v>2001</v>
      </c>
      <c r="J110" s="242" t="str">
        <f>IFERROR(IF(N110&lt;&gt;"",M110,IF(I110 = PARÂMETROS!$B$5,Q110, IF(I110 = PARÂMETROS!$B$6,R110,IF(I110 = PARÂMETROS!$B$7,S110,IF(I110 = PARÂMETROS!$B$8, T110,"DEFINIR CRITÉRIO"))))),"SEM PREÇO")</f>
        <v>SEM PREÇO</v>
      </c>
      <c r="K110" s="241">
        <f t="shared" si="42"/>
        <v>0</v>
      </c>
      <c r="L110" s="238" t="str">
        <f t="shared" si="43"/>
        <v/>
      </c>
      <c r="M110" s="51" t="e">
        <f>VLOOKUP(N110,#REF!,4,FALSE)</f>
        <v>#REF!</v>
      </c>
      <c r="N110" s="52">
        <v>34498</v>
      </c>
      <c r="O110" s="53" t="s">
        <v>404</v>
      </c>
      <c r="P110" s="235">
        <f t="shared" si="44"/>
        <v>0</v>
      </c>
      <c r="Q110" s="236">
        <f t="shared" si="45"/>
        <v>0</v>
      </c>
      <c r="R110" s="236">
        <f t="shared" si="46"/>
        <v>0</v>
      </c>
      <c r="S110" s="236">
        <f t="shared" si="47"/>
        <v>0</v>
      </c>
      <c r="T110" s="236">
        <f t="shared" si="48"/>
        <v>0</v>
      </c>
      <c r="U110" s="237" t="str">
        <f>IF(AA110 = "", "", IF(OR($H110 = PARÂMETROS!$E$5, $H110 = ""), AA110, IF(OR(AA110 &lt; (1-VLOOKUP($H110,PARÂMETROS!$E:$F,2,FALSE))*$P110, AA110 &gt; (1+VLOOKUP($H110,PARÂMETROS!$E:$F,2,FALSE))*$P110),"",AA110)))</f>
        <v/>
      </c>
      <c r="V110" s="237" t="str">
        <f>IF(AG110 = "", "", IF(OR($H110 = PARÂMETROS!$E$5, $H110 = ""), AG110, IF(OR(AG110 &lt; (1-VLOOKUP($H110,PARÂMETROS!$E:$F,2,FALSE))*$P115, AG110 &gt; (1+VLOOKUP($H110,PARÂMETROS!$E:$F,2,FALSE))*$P110),"",AG110)))</f>
        <v/>
      </c>
      <c r="W110" s="237" t="str">
        <f>IF(AM110 = "", "", IF(OR($H110 = PARÂMETROS!$E$5, $H110 = ""), AM110, IF(OR(AM110 &lt; (1-VLOOKUP($H110,PARÂMETROS!$E:$F,2,FALSE))*$P110, AM110 &gt; (1+VLOOKUP($H110,PARÂMETROS!$E:$F,2,FALSE))*$P110),"",AM110)))</f>
        <v/>
      </c>
      <c r="X110" s="237" t="str">
        <f>IF(AS110 = "", "", IF(OR($H110 = PARÂMETROS!$E$5, $H110 = ""), AS110, IF(OR(AS110 &lt; (1-VLOOKUP($H110,PARÂMETROS!$E:$F,2,FALSE))*$P110, AS110 &gt; (1+VLOOKUP($H110,PARÂMETROS!$E:$F,2,FALSE))*$P110),"",AS110)))</f>
        <v/>
      </c>
      <c r="Y110" s="237" t="str">
        <f>IF(AY110 = "", "", IF(OR($H110 = PARÂMETROS!$E$5, $H110 = ""), AY110, IF(OR(AY110 &lt; (1-VLOOKUP($H110,PARÂMETROS!$E:$F,2,FALSE))*$P110, AY110 &gt; (1+VLOOKUP($H110,PARÂMETROS!$E:$F,2,FALSE))*$P110),"",AY110)))</f>
        <v/>
      </c>
      <c r="Z110" s="237" t="str">
        <f>IF(BE110 = "", "", IF(OR($H110 = PARÂMETROS!$E$5, $H110 = ""), BE110, IF(OR(BE110 &lt; (1-VLOOKUP($H110,PARÂMETROS!$E:$F,2,FALSE))*$P110, BE110 &gt; (1+VLOOKUP($H110,PARÂMETROS!$E:$F,2,FALSE))*$P110),"",BE110)))</f>
        <v/>
      </c>
      <c r="AA110" s="207"/>
      <c r="AB110" s="208"/>
      <c r="AC110" s="206" t="str">
        <f>IF(AND(OR(AA110="",AA110=0),OR(AA110="",AB110=0)),"",IF(OR(AA110="",AA110=0),"DEFINIR PREÇO",IF(OR(AB110="",AB110=0),"DEFINIR FORNECEDOR",IF(OR(AA110&lt;&gt;"",AA110&lt;&gt;0),VLOOKUP(AB110,#REF!,2,FALSE)))))</f>
        <v/>
      </c>
      <c r="AD110" s="217"/>
      <c r="AE110" s="218"/>
      <c r="AF110" s="220" t="str">
        <f t="shared" ca="1" si="49"/>
        <v/>
      </c>
      <c r="AG110" s="229"/>
      <c r="AH110" s="231"/>
      <c r="AI110" s="206" t="str">
        <f>IF(AND(OR(AG110="",AG110=0),OR(AG110="",AH110=0)),"",IF(OR(AG110="",AG110=0),"DEFINIR PREÇO",IF(OR(AH110="",AH110=0),"DEFINIR FORNECEDOR",IF(OR(AG110&lt;&gt;"",AG110&lt;&gt;0),VLOOKUP(AH110,#REF!,2,FALSE)))))</f>
        <v/>
      </c>
      <c r="AJ110" s="217"/>
      <c r="AK110" s="218"/>
      <c r="AL110" s="220" t="str">
        <f t="shared" ca="1" si="50"/>
        <v/>
      </c>
      <c r="AM110" s="229"/>
      <c r="AN110" s="231"/>
      <c r="AO110" s="206" t="str">
        <f>IF(AND(OR(AM110="",AM110=0),OR(AM110="",AN110=0)),"",IF(OR(AM110="",AM110=0),"DEFINIR PREÇO",IF(OR(AN110="",AN110=0),"DEFINIR FORNECEDOR",IF(OR(AM110&lt;&gt;"",AM110&lt;&gt;0),VLOOKUP(AN110,#REF!,2,FALSE)))))</f>
        <v/>
      </c>
      <c r="AP110" s="217"/>
      <c r="AQ110" s="218"/>
      <c r="AR110" s="220" t="str">
        <f t="shared" ca="1" si="51"/>
        <v/>
      </c>
      <c r="AS110" s="229"/>
      <c r="AT110" s="231"/>
      <c r="AU110" s="194"/>
      <c r="AV110" s="217"/>
      <c r="AW110" s="218"/>
      <c r="AX110" s="220" t="str">
        <f t="shared" ca="1" si="52"/>
        <v/>
      </c>
      <c r="AY110" s="229"/>
      <c r="AZ110" s="234"/>
      <c r="BA110" s="209" t="str">
        <f>IF(AND(OR(AY110="",AY110=0),OR(AY110="",AZ110=0)),"",IF(OR(AY110="",AY110=0),"DEFINIR PREÇO",IF(OR(AZ110="",AZ110=0),"DEFINIR FORNECEDOR",IF(OR(AY110&lt;&gt;"",AY110&lt;&gt;0),VLOOKUP(AZ110,#REF!,2,FALSE)))))</f>
        <v/>
      </c>
      <c r="BB110" s="217"/>
      <c r="BC110" s="218"/>
      <c r="BD110" s="220" t="str">
        <f t="shared" ca="1" si="53"/>
        <v/>
      </c>
      <c r="BE110" s="195"/>
      <c r="BF110" s="196"/>
      <c r="BG110" s="194"/>
      <c r="BH110" s="194"/>
      <c r="BI110" s="194"/>
      <c r="BJ110" s="197"/>
    </row>
    <row r="111" spans="1:62" ht="30" x14ac:dyDescent="0.25">
      <c r="A111" s="44" t="s">
        <v>405</v>
      </c>
      <c r="B111" s="58"/>
      <c r="C111" s="45"/>
      <c r="D111" s="139" t="s">
        <v>39</v>
      </c>
      <c r="E111" s="149" t="s">
        <v>23</v>
      </c>
      <c r="F111" s="46" t="str">
        <f t="shared" si="71"/>
        <v>DEFINIR CRITÉRIO</v>
      </c>
      <c r="G111" s="47" t="str">
        <f t="shared" si="72"/>
        <v>DEFINIR CRITÉRIO</v>
      </c>
      <c r="H111" s="240" t="s">
        <v>2000</v>
      </c>
      <c r="I111" s="240" t="s">
        <v>2001</v>
      </c>
      <c r="J111" s="242" t="str">
        <f>IFERROR(IF(N111&lt;&gt;"",M111,IF(I111 = PARÂMETROS!$B$5,Q111, IF(I111 = PARÂMETROS!$B$6,R111,IF(I111 = PARÂMETROS!$B$7,S111,IF(I111 = PARÂMETROS!$B$8, T111,"DEFINIR CRITÉRIO"))))),"SEM PREÇO")</f>
        <v>DEFINIR CRITÉRIO</v>
      </c>
      <c r="K111" s="241" t="str">
        <f t="shared" si="42"/>
        <v/>
      </c>
      <c r="L111" s="238" t="str">
        <f t="shared" si="43"/>
        <v/>
      </c>
      <c r="M111" s="51"/>
      <c r="N111" s="52"/>
      <c r="O111" s="53"/>
      <c r="P111" s="235">
        <f t="shared" si="44"/>
        <v>14.003333333333332</v>
      </c>
      <c r="Q111" s="236">
        <f t="shared" si="45"/>
        <v>0</v>
      </c>
      <c r="R111" s="236">
        <f t="shared" si="46"/>
        <v>0</v>
      </c>
      <c r="S111" s="236">
        <f t="shared" si="47"/>
        <v>0</v>
      </c>
      <c r="T111" s="236">
        <f t="shared" si="48"/>
        <v>0</v>
      </c>
      <c r="U111" s="237" t="e">
        <f>IF(AA111 = "", "", IF(OR($H111 = PARÂMETROS!$E$5, $H111 = ""), AA111, IF(OR(AA111 &lt; (1-VLOOKUP($H111,PARÂMETROS!$E:$F,2,FALSE))*$P111, AA111 &gt; (1+VLOOKUP($H111,PARÂMETROS!$E:$F,2,FALSE))*$P111),"",AA111)))</f>
        <v>#N/A</v>
      </c>
      <c r="V111" s="237" t="e">
        <f>IF(AG111 = "", "", IF(OR($H111 = PARÂMETROS!$E$5, $H111 = ""), AG111, IF(OR(AG111 &lt; (1-VLOOKUP($H111,PARÂMETROS!$E:$F,2,FALSE))*$P116, AG111 &gt; (1+VLOOKUP($H111,PARÂMETROS!$E:$F,2,FALSE))*$P111),"",AG111)))</f>
        <v>#N/A</v>
      </c>
      <c r="W111" s="237" t="e">
        <f>IF(AM111 = "", "", IF(OR($H111 = PARÂMETROS!$E$5, $H111 = ""), AM111, IF(OR(AM111 &lt; (1-VLOOKUP($H111,PARÂMETROS!$E:$F,2,FALSE))*$P111, AM111 &gt; (1+VLOOKUP($H111,PARÂMETROS!$E:$F,2,FALSE))*$P111),"",AM111)))</f>
        <v>#N/A</v>
      </c>
      <c r="X111" s="237" t="str">
        <f>IF(AS111 = "", "", IF(OR($H111 = PARÂMETROS!$E$5, $H111 = ""), AS111, IF(OR(AS111 &lt; (1-VLOOKUP($H111,PARÂMETROS!$E:$F,2,FALSE))*$P111, AS111 &gt; (1+VLOOKUP($H111,PARÂMETROS!$E:$F,2,FALSE))*$P111),"",AS111)))</f>
        <v/>
      </c>
      <c r="Y111" s="237" t="str">
        <f>IF(AY111 = "", "", IF(OR($H111 = PARÂMETROS!$E$5, $H111 = ""), AY111, IF(OR(AY111 &lt; (1-VLOOKUP($H111,PARÂMETROS!$E:$F,2,FALSE))*$P111, AY111 &gt; (1+VLOOKUP($H111,PARÂMETROS!$E:$F,2,FALSE))*$P111),"",AY111)))</f>
        <v/>
      </c>
      <c r="Z111" s="237" t="str">
        <f>IF(BE111 = "", "", IF(OR($H111 = PARÂMETROS!$E$5, $H111 = ""), BE111, IF(OR(BE111 &lt; (1-VLOOKUP($H111,PARÂMETROS!$E:$F,2,FALSE))*$P111, BE111 &gt; (1+VLOOKUP($H111,PARÂMETROS!$E:$F,2,FALSE))*$P111),"",BE111)))</f>
        <v/>
      </c>
      <c r="AA111" s="207">
        <v>9.51</v>
      </c>
      <c r="AB111" s="208">
        <v>1868</v>
      </c>
      <c r="AC111" s="206" t="e">
        <f>IF(AND(OR(AA111="",AA111=0),OR(AA111="",AB111=0)),"",IF(OR(AA111="",AA111=0),"DEFINIR PREÇO",IF(OR(AB111="",AB111=0),"DEFINIR FORNECEDOR",IF(OR(AA111&lt;&gt;"",AA111&lt;&gt;0),VLOOKUP(AB111,#REF!,2,FALSE)))))</f>
        <v>#REF!</v>
      </c>
      <c r="AD111" s="217" t="s">
        <v>1977</v>
      </c>
      <c r="AE111" s="218">
        <v>44916</v>
      </c>
      <c r="AF111" s="220" t="str">
        <f t="shared" ca="1" si="49"/>
        <v>DESATUALIZADA</v>
      </c>
      <c r="AG111" s="229">
        <v>12.5</v>
      </c>
      <c r="AH111" s="231">
        <v>1116</v>
      </c>
      <c r="AI111" s="206" t="e">
        <f>IF(AND(OR(AG111="",AG111=0),OR(AG111="",AH111=0)),"",IF(OR(AG111="",AG111=0),"DEFINIR PREÇO",IF(OR(AH111="",AH111=0),"DEFINIR FORNECEDOR",IF(OR(AG111&lt;&gt;"",AG111&lt;&gt;0),VLOOKUP(AH111,#REF!,2,FALSE)))))</f>
        <v>#REF!</v>
      </c>
      <c r="AJ111" s="217" t="s">
        <v>1977</v>
      </c>
      <c r="AK111" s="218">
        <v>44916</v>
      </c>
      <c r="AL111" s="220" t="str">
        <f t="shared" ca="1" si="50"/>
        <v>DESATUALIZADA</v>
      </c>
      <c r="AM111" s="229">
        <f>20</f>
        <v>20</v>
      </c>
      <c r="AN111" s="231">
        <v>1902</v>
      </c>
      <c r="AO111" s="206" t="e">
        <f>IF(AND(OR(AM111="",AM111=0),OR(AM111="",AN111=0)),"",IF(OR(AM111="",AM111=0),"DEFINIR PREÇO",IF(OR(AN111="",AN111=0),"DEFINIR FORNECEDOR",IF(OR(AM111&lt;&gt;"",AM111&lt;&gt;0),VLOOKUP(AN111,#REF!,2,FALSE)))))</f>
        <v>#REF!</v>
      </c>
      <c r="AP111" s="217" t="s">
        <v>1977</v>
      </c>
      <c r="AQ111" s="218">
        <v>44916</v>
      </c>
      <c r="AR111" s="220" t="str">
        <f t="shared" ca="1" si="51"/>
        <v>DESATUALIZADA</v>
      </c>
      <c r="AS111" s="229"/>
      <c r="AT111" s="231"/>
      <c r="AU111" s="194"/>
      <c r="AV111" s="217"/>
      <c r="AW111" s="218"/>
      <c r="AX111" s="220" t="str">
        <f t="shared" ca="1" si="52"/>
        <v/>
      </c>
      <c r="AY111" s="229"/>
      <c r="AZ111" s="234"/>
      <c r="BA111" s="209" t="str">
        <f>IF(AND(OR(AY111="",AY111=0),OR(AY111="",AZ111=0)),"",IF(OR(AY111="",AY111=0),"DEFINIR PREÇO",IF(OR(AZ111="",AZ111=0),"DEFINIR FORNECEDOR",IF(OR(AY111&lt;&gt;"",AY111&lt;&gt;0),VLOOKUP(AZ111,#REF!,2,FALSE)))))</f>
        <v/>
      </c>
      <c r="BB111" s="217"/>
      <c r="BC111" s="218"/>
      <c r="BD111" s="220" t="str">
        <f t="shared" ca="1" si="53"/>
        <v/>
      </c>
      <c r="BE111" s="195"/>
      <c r="BF111" s="196"/>
      <c r="BG111" s="194"/>
      <c r="BH111" s="194"/>
      <c r="BI111" s="194"/>
      <c r="BJ111" s="197"/>
    </row>
    <row r="112" spans="1:62" ht="30" x14ac:dyDescent="0.25">
      <c r="A112" s="44" t="s">
        <v>405</v>
      </c>
      <c r="B112" s="58" t="s">
        <v>433</v>
      </c>
      <c r="C112" s="45"/>
      <c r="D112" s="139" t="s">
        <v>434</v>
      </c>
      <c r="E112" s="149" t="s">
        <v>23</v>
      </c>
      <c r="F112" s="46" t="str">
        <f t="shared" si="71"/>
        <v>DEFINIR CRITÉRIO</v>
      </c>
      <c r="G112" s="47" t="str">
        <f t="shared" si="72"/>
        <v>DEFINIR CRITÉRIO</v>
      </c>
      <c r="H112" s="240" t="s">
        <v>2000</v>
      </c>
      <c r="I112" s="240" t="s">
        <v>2002</v>
      </c>
      <c r="J112" s="242" t="str">
        <f>IFERROR(IF(N112&lt;&gt;"",M112,IF(I112 = PARÂMETROS!$B$5,Q112, IF(I112 = PARÂMETROS!$B$6,R112,IF(I112 = PARÂMETROS!$B$7,S112,IF(I112 = PARÂMETROS!$B$8, T112,"DEFINIR CRITÉRIO"))))),"SEM PREÇO")</f>
        <v>DEFINIR CRITÉRIO</v>
      </c>
      <c r="K112" s="241" t="str">
        <f t="shared" si="42"/>
        <v/>
      </c>
      <c r="L112" s="238" t="str">
        <f t="shared" si="43"/>
        <v/>
      </c>
      <c r="M112" s="51"/>
      <c r="N112" s="52"/>
      <c r="O112" s="53"/>
      <c r="P112" s="235">
        <f t="shared" si="44"/>
        <v>18119.046666666665</v>
      </c>
      <c r="Q112" s="236">
        <f t="shared" si="45"/>
        <v>0</v>
      </c>
      <c r="R112" s="236">
        <f t="shared" si="46"/>
        <v>0</v>
      </c>
      <c r="S112" s="236">
        <f t="shared" si="47"/>
        <v>0</v>
      </c>
      <c r="T112" s="236">
        <f t="shared" si="48"/>
        <v>0</v>
      </c>
      <c r="U112" s="237" t="e">
        <f>IF(AA112 = "", "", IF(OR($H112 = PARÂMETROS!$E$5, $H112 = ""), AA112, IF(OR(AA112 &lt; (1-VLOOKUP($H112,PARÂMETROS!$E:$F,2,FALSE))*$P112, AA112 &gt; (1+VLOOKUP($H112,PARÂMETROS!$E:$F,2,FALSE))*$P112),"",AA112)))</f>
        <v>#N/A</v>
      </c>
      <c r="V112" s="237" t="e">
        <f>IF(AG112 = "", "", IF(OR($H112 = PARÂMETROS!$E$5, $H112 = ""), AG112, IF(OR(AG112 &lt; (1-VLOOKUP($H112,PARÂMETROS!$E:$F,2,FALSE))*$P117, AG112 &gt; (1+VLOOKUP($H112,PARÂMETROS!$E:$F,2,FALSE))*$P112),"",AG112)))</f>
        <v>#N/A</v>
      </c>
      <c r="W112" s="237" t="e">
        <f>IF(AM112 = "", "", IF(OR($H112 = PARÂMETROS!$E$5, $H112 = ""), AM112, IF(OR(AM112 &lt; (1-VLOOKUP($H112,PARÂMETROS!$E:$F,2,FALSE))*$P112, AM112 &gt; (1+VLOOKUP($H112,PARÂMETROS!$E:$F,2,FALSE))*$P112),"",AM112)))</f>
        <v>#N/A</v>
      </c>
      <c r="X112" s="237" t="str">
        <f>IF(AS112 = "", "", IF(OR($H112 = PARÂMETROS!$E$5, $H112 = ""), AS112, IF(OR(AS112 &lt; (1-VLOOKUP($H112,PARÂMETROS!$E:$F,2,FALSE))*$P112, AS112 &gt; (1+VLOOKUP($H112,PARÂMETROS!$E:$F,2,FALSE))*$P112),"",AS112)))</f>
        <v/>
      </c>
      <c r="Y112" s="237" t="str">
        <f>IF(AY112 = "", "", IF(OR($H112 = PARÂMETROS!$E$5, $H112 = ""), AY112, IF(OR(AY112 &lt; (1-VLOOKUP($H112,PARÂMETROS!$E:$F,2,FALSE))*$P112, AY112 &gt; (1+VLOOKUP($H112,PARÂMETROS!$E:$F,2,FALSE))*$P112),"",AY112)))</f>
        <v/>
      </c>
      <c r="Z112" s="237" t="str">
        <f>IF(BE112 = "", "", IF(OR($H112 = PARÂMETROS!$E$5, $H112 = ""), BE112, IF(OR(BE112 &lt; (1-VLOOKUP($H112,PARÂMETROS!$E:$F,2,FALSE))*$P112, BE112 &gt; (1+VLOOKUP($H112,PARÂMETROS!$E:$F,2,FALSE))*$P112),"",BE112)))</f>
        <v/>
      </c>
      <c r="AA112" s="207">
        <v>18148.54</v>
      </c>
      <c r="AB112" s="208">
        <v>1220</v>
      </c>
      <c r="AC112" s="206" t="e">
        <f>IF(AND(OR(AA112="",AA112=0),OR(AA112="",AB112=0)),"",IF(OR(AA112="",AA112=0),"DEFINIR PREÇO",IF(OR(AB112="",AB112=0),"DEFINIR FORNECEDOR",IF(OR(AA112&lt;&gt;"",AA112&lt;&gt;0),VLOOKUP(AB112,#REF!,2,FALSE)))))</f>
        <v>#REF!</v>
      </c>
      <c r="AD112" s="217" t="s">
        <v>1977</v>
      </c>
      <c r="AE112" s="218">
        <v>44917</v>
      </c>
      <c r="AF112" s="220" t="str">
        <f t="shared" ca="1" si="49"/>
        <v>DESATUALIZADA</v>
      </c>
      <c r="AG112" s="229">
        <v>23308.6</v>
      </c>
      <c r="AH112" s="231">
        <v>1374</v>
      </c>
      <c r="AI112" s="206" t="e">
        <f>IF(AND(OR(AG112="",AG112=0),OR(AG112="",AH112=0)),"",IF(OR(AG112="",AG112=0),"DEFINIR PREÇO",IF(OR(AH112="",AH112=0),"DEFINIR FORNECEDOR",IF(OR(AG112&lt;&gt;"",AG112&lt;&gt;0),VLOOKUP(AH112,#REF!,2,FALSE)))))</f>
        <v>#REF!</v>
      </c>
      <c r="AJ112" s="217" t="s">
        <v>1977</v>
      </c>
      <c r="AK112" s="218">
        <v>44917</v>
      </c>
      <c r="AL112" s="220" t="str">
        <f t="shared" ca="1" si="50"/>
        <v>DESATUALIZADA</v>
      </c>
      <c r="AM112" s="229">
        <v>12900</v>
      </c>
      <c r="AN112" s="231">
        <v>2165</v>
      </c>
      <c r="AO112" s="206" t="e">
        <f>IF(AND(OR(AM112="",AM112=0),OR(AM112="",AN112=0)),"",IF(OR(AM112="",AM112=0),"DEFINIR PREÇO",IF(OR(AN112="",AN112=0),"DEFINIR FORNECEDOR",IF(OR(AM112&lt;&gt;"",AM112&lt;&gt;0),VLOOKUP(AN112,#REF!,2,FALSE)))))</f>
        <v>#REF!</v>
      </c>
      <c r="AP112" s="217" t="s">
        <v>1977</v>
      </c>
      <c r="AQ112" s="218">
        <v>44917</v>
      </c>
      <c r="AR112" s="220" t="str">
        <f t="shared" ca="1" si="51"/>
        <v>DESATUALIZADA</v>
      </c>
      <c r="AS112" s="229"/>
      <c r="AT112" s="231"/>
      <c r="AU112" s="194"/>
      <c r="AV112" s="217"/>
      <c r="AW112" s="218"/>
      <c r="AX112" s="220" t="str">
        <f t="shared" ca="1" si="52"/>
        <v/>
      </c>
      <c r="AY112" s="229"/>
      <c r="AZ112" s="234"/>
      <c r="BA112" s="209" t="str">
        <f>IF(AND(OR(AY112="",AY112=0),OR(AY112="",AZ112=0)),"",IF(OR(AY112="",AY112=0),"DEFINIR PREÇO",IF(OR(AZ112="",AZ112=0),"DEFINIR FORNECEDOR",IF(OR(AY112&lt;&gt;"",AY112&lt;&gt;0),VLOOKUP(AZ112,#REF!,2,FALSE)))))</f>
        <v/>
      </c>
      <c r="BB112" s="217"/>
      <c r="BC112" s="218"/>
      <c r="BD112" s="220" t="str">
        <f t="shared" ca="1" si="53"/>
        <v/>
      </c>
      <c r="BE112" s="195"/>
      <c r="BF112" s="196"/>
      <c r="BG112" s="194"/>
      <c r="BH112" s="194"/>
      <c r="BI112" s="194"/>
      <c r="BJ112" s="197"/>
    </row>
    <row r="113" spans="1:62" ht="30" x14ac:dyDescent="0.25">
      <c r="A113" s="44" t="s">
        <v>405</v>
      </c>
      <c r="B113" s="58" t="s">
        <v>435</v>
      </c>
      <c r="C113" s="45"/>
      <c r="D113" s="55" t="s">
        <v>436</v>
      </c>
      <c r="E113" s="149" t="s">
        <v>23</v>
      </c>
      <c r="F113" s="46" t="str">
        <f t="shared" si="71"/>
        <v>DEFINIR CRITÉRIO</v>
      </c>
      <c r="G113" s="47" t="str">
        <f t="shared" si="72"/>
        <v>DEFINIR CRITÉRIO</v>
      </c>
      <c r="H113" s="240" t="s">
        <v>2000</v>
      </c>
      <c r="I113" s="240" t="s">
        <v>2001</v>
      </c>
      <c r="J113" s="242" t="str">
        <f>IFERROR(IF(N113&lt;&gt;"",M113,IF(I113 = PARÂMETROS!$B$5,Q113, IF(I113 = PARÂMETROS!$B$6,R113,IF(I113 = PARÂMETROS!$B$7,S113,IF(I113 = PARÂMETROS!$B$8, T113,"DEFINIR CRITÉRIO"))))),"SEM PREÇO")</f>
        <v>DEFINIR CRITÉRIO</v>
      </c>
      <c r="K113" s="241" t="str">
        <f t="shared" si="42"/>
        <v/>
      </c>
      <c r="L113" s="238" t="str">
        <f t="shared" si="43"/>
        <v/>
      </c>
      <c r="M113" s="51"/>
      <c r="N113" s="52"/>
      <c r="O113" s="53"/>
      <c r="P113" s="235">
        <f t="shared" si="44"/>
        <v>5104.45</v>
      </c>
      <c r="Q113" s="236">
        <f t="shared" si="45"/>
        <v>0</v>
      </c>
      <c r="R113" s="236">
        <f t="shared" si="46"/>
        <v>0</v>
      </c>
      <c r="S113" s="236">
        <f t="shared" si="47"/>
        <v>0</v>
      </c>
      <c r="T113" s="236">
        <f t="shared" si="48"/>
        <v>0</v>
      </c>
      <c r="U113" s="237" t="e">
        <f>IF(AA113 = "", "", IF(OR($H113 = PARÂMETROS!$E$5, $H113 = ""), AA113, IF(OR(AA113 &lt; (1-VLOOKUP($H113,PARÂMETROS!$E:$F,2,FALSE))*$P113, AA113 &gt; (1+VLOOKUP($H113,PARÂMETROS!$E:$F,2,FALSE))*$P113),"",AA113)))</f>
        <v>#N/A</v>
      </c>
      <c r="V113" s="237" t="e">
        <f>IF(AG113 = "", "", IF(OR($H113 = PARÂMETROS!$E$5, $H113 = ""), AG113, IF(OR(AG113 &lt; (1-VLOOKUP($H113,PARÂMETROS!$E:$F,2,FALSE))*$P118, AG113 &gt; (1+VLOOKUP($H113,PARÂMETROS!$E:$F,2,FALSE))*$P113),"",AG113)))</f>
        <v>#N/A</v>
      </c>
      <c r="W113" s="237" t="e">
        <f>IF(AM113 = "", "", IF(OR($H113 = PARÂMETROS!$E$5, $H113 = ""), AM113, IF(OR(AM113 &lt; (1-VLOOKUP($H113,PARÂMETROS!$E:$F,2,FALSE))*$P113, AM113 &gt; (1+VLOOKUP($H113,PARÂMETROS!$E:$F,2,FALSE))*$P113),"",AM113)))</f>
        <v>#N/A</v>
      </c>
      <c r="X113" s="237" t="str">
        <f>IF(AS113 = "", "", IF(OR($H113 = PARÂMETROS!$E$5, $H113 = ""), AS113, IF(OR(AS113 &lt; (1-VLOOKUP($H113,PARÂMETROS!$E:$F,2,FALSE))*$P113, AS113 &gt; (1+VLOOKUP($H113,PARÂMETROS!$E:$F,2,FALSE))*$P113),"",AS113)))</f>
        <v/>
      </c>
      <c r="Y113" s="237" t="str">
        <f>IF(AY113 = "", "", IF(OR($H113 = PARÂMETROS!$E$5, $H113 = ""), AY113, IF(OR(AY113 &lt; (1-VLOOKUP($H113,PARÂMETROS!$E:$F,2,FALSE))*$P113, AY113 &gt; (1+VLOOKUP($H113,PARÂMETROS!$E:$F,2,FALSE))*$P113),"",AY113)))</f>
        <v/>
      </c>
      <c r="Z113" s="237" t="str">
        <f>IF(BE113 = "", "", IF(OR($H113 = PARÂMETROS!$E$5, $H113 = ""), BE113, IF(OR(BE113 &lt; (1-VLOOKUP($H113,PARÂMETROS!$E:$F,2,FALSE))*$P113, BE113 &gt; (1+VLOOKUP($H113,PARÂMETROS!$E:$F,2,FALSE))*$P113),"",BE113)))</f>
        <v/>
      </c>
      <c r="AA113" s="207">
        <v>6990</v>
      </c>
      <c r="AB113" s="208">
        <v>1068</v>
      </c>
      <c r="AC113" s="206" t="e">
        <f>IF(AND(OR(AA113="",AA113=0),OR(AA113="",AB113=0)),"",IF(OR(AA113="",AA113=0),"DEFINIR PREÇO",IF(OR(AB113="",AB113=0),"DEFINIR FORNECEDOR",IF(OR(AA113&lt;&gt;"",AA113&lt;&gt;0),VLOOKUP(AB113,#REF!,2,FALSE)))))</f>
        <v>#REF!</v>
      </c>
      <c r="AD113" s="217" t="s">
        <v>1977</v>
      </c>
      <c r="AE113" s="218">
        <v>44966</v>
      </c>
      <c r="AF113" s="220" t="str">
        <f t="shared" ca="1" si="49"/>
        <v>DESATUALIZADA</v>
      </c>
      <c r="AG113" s="229">
        <v>3540</v>
      </c>
      <c r="AH113" s="231">
        <v>1902</v>
      </c>
      <c r="AI113" s="206" t="e">
        <f>IF(AND(OR(AG113="",AG113=0),OR(AG113="",AH113=0)),"",IF(OR(AG113="",AG113=0),"DEFINIR PREÇO",IF(OR(AH113="",AH113=0),"DEFINIR FORNECEDOR",IF(OR(AG113&lt;&gt;"",AG113&lt;&gt;0),VLOOKUP(AH113,#REF!,2,FALSE)))))</f>
        <v>#REF!</v>
      </c>
      <c r="AJ113" s="217" t="s">
        <v>1977</v>
      </c>
      <c r="AK113" s="218">
        <v>44966</v>
      </c>
      <c r="AL113" s="220" t="str">
        <f t="shared" ca="1" si="50"/>
        <v>DESATUALIZADA</v>
      </c>
      <c r="AM113" s="229">
        <v>4783.3500000000004</v>
      </c>
      <c r="AN113" s="231">
        <v>2268</v>
      </c>
      <c r="AO113" s="206" t="e">
        <f>IF(AND(OR(AM113="",AM113=0),OR(AM113="",AN113=0)),"",IF(OR(AM113="",AM113=0),"DEFINIR PREÇO",IF(OR(AN113="",AN113=0),"DEFINIR FORNECEDOR",IF(OR(AM113&lt;&gt;"",AM113&lt;&gt;0),VLOOKUP(AN113,#REF!,2,FALSE)))))</f>
        <v>#REF!</v>
      </c>
      <c r="AP113" s="217" t="s">
        <v>1977</v>
      </c>
      <c r="AQ113" s="218">
        <v>44966</v>
      </c>
      <c r="AR113" s="220" t="str">
        <f t="shared" ca="1" si="51"/>
        <v>DESATUALIZADA</v>
      </c>
      <c r="AS113" s="229"/>
      <c r="AT113" s="231"/>
      <c r="AU113" s="194"/>
      <c r="AV113" s="217"/>
      <c r="AW113" s="218"/>
      <c r="AX113" s="220" t="str">
        <f t="shared" ca="1" si="52"/>
        <v/>
      </c>
      <c r="AY113" s="229"/>
      <c r="AZ113" s="234"/>
      <c r="BA113" s="209" t="str">
        <f>IF(AND(OR(AY113="",AY113=0),OR(AY113="",AZ113=0)),"",IF(OR(AY113="",AY113=0),"DEFINIR PREÇO",IF(OR(AZ113="",AZ113=0),"DEFINIR FORNECEDOR",IF(OR(AY113&lt;&gt;"",AY113&lt;&gt;0),VLOOKUP(AZ113,#REF!,2,FALSE)))))</f>
        <v/>
      </c>
      <c r="BB113" s="217"/>
      <c r="BC113" s="218"/>
      <c r="BD113" s="220" t="str">
        <f t="shared" ca="1" si="53"/>
        <v/>
      </c>
      <c r="BE113" s="195"/>
      <c r="BF113" s="196"/>
      <c r="BG113" s="194"/>
      <c r="BH113" s="194"/>
      <c r="BI113" s="194"/>
      <c r="BJ113" s="197"/>
    </row>
    <row r="114" spans="1:62" ht="30" x14ac:dyDescent="0.25">
      <c r="A114" s="44" t="s">
        <v>405</v>
      </c>
      <c r="B114" s="58" t="s">
        <v>437</v>
      </c>
      <c r="C114" s="45"/>
      <c r="D114" s="139" t="s">
        <v>438</v>
      </c>
      <c r="E114" s="149" t="s">
        <v>23</v>
      </c>
      <c r="F114" s="46" t="str">
        <f t="shared" si="71"/>
        <v>DEFINIR CRITÉRIO</v>
      </c>
      <c r="G114" s="47" t="str">
        <f t="shared" si="72"/>
        <v>DEFINIR CRITÉRIO</v>
      </c>
      <c r="H114" s="240" t="s">
        <v>2000</v>
      </c>
      <c r="I114" s="240" t="s">
        <v>2001</v>
      </c>
      <c r="J114" s="242" t="str">
        <f>IFERROR(IF(N114&lt;&gt;"",M114,IF(I114 = PARÂMETROS!$B$5,Q114, IF(I114 = PARÂMETROS!$B$6,R114,IF(I114 = PARÂMETROS!$B$7,S114,IF(I114 = PARÂMETROS!$B$8, T114,"DEFINIR CRITÉRIO"))))),"SEM PREÇO")</f>
        <v>DEFINIR CRITÉRIO</v>
      </c>
      <c r="K114" s="241" t="str">
        <f t="shared" si="42"/>
        <v/>
      </c>
      <c r="L114" s="238" t="str">
        <f t="shared" si="43"/>
        <v/>
      </c>
      <c r="M114" s="51"/>
      <c r="N114" s="52"/>
      <c r="O114" s="53"/>
      <c r="P114" s="235">
        <f t="shared" si="44"/>
        <v>3646.5833333333335</v>
      </c>
      <c r="Q114" s="236">
        <f t="shared" si="45"/>
        <v>0</v>
      </c>
      <c r="R114" s="236">
        <f t="shared" si="46"/>
        <v>0</v>
      </c>
      <c r="S114" s="236">
        <f t="shared" si="47"/>
        <v>0</v>
      </c>
      <c r="T114" s="236">
        <f t="shared" si="48"/>
        <v>0</v>
      </c>
      <c r="U114" s="237" t="e">
        <f>IF(AA114 = "", "", IF(OR($H114 = PARÂMETROS!$E$5, $H114 = ""), AA114, IF(OR(AA114 &lt; (1-VLOOKUP($H114,PARÂMETROS!$E:$F,2,FALSE))*$P114, AA114 &gt; (1+VLOOKUP($H114,PARÂMETROS!$E:$F,2,FALSE))*$P114),"",AA114)))</f>
        <v>#N/A</v>
      </c>
      <c r="V114" s="237" t="e">
        <f>IF(AG114 = "", "", IF(OR($H114 = PARÂMETROS!$E$5, $H114 = ""), AG114, IF(OR(AG114 &lt; (1-VLOOKUP($H114,PARÂMETROS!$E:$F,2,FALSE))*$P119, AG114 &gt; (1+VLOOKUP($H114,PARÂMETROS!$E:$F,2,FALSE))*$P114),"",AG114)))</f>
        <v>#N/A</v>
      </c>
      <c r="W114" s="237" t="e">
        <f>IF(AM114 = "", "", IF(OR($H114 = PARÂMETROS!$E$5, $H114 = ""), AM114, IF(OR(AM114 &lt; (1-VLOOKUP($H114,PARÂMETROS!$E:$F,2,FALSE))*$P114, AM114 &gt; (1+VLOOKUP($H114,PARÂMETROS!$E:$F,2,FALSE))*$P114),"",AM114)))</f>
        <v>#N/A</v>
      </c>
      <c r="X114" s="237" t="str">
        <f>IF(AS114 = "", "", IF(OR($H114 = PARÂMETROS!$E$5, $H114 = ""), AS114, IF(OR(AS114 &lt; (1-VLOOKUP($H114,PARÂMETROS!$E:$F,2,FALSE))*$P114, AS114 &gt; (1+VLOOKUP($H114,PARÂMETROS!$E:$F,2,FALSE))*$P114),"",AS114)))</f>
        <v/>
      </c>
      <c r="Y114" s="237" t="str">
        <f>IF(AY114 = "", "", IF(OR($H114 = PARÂMETROS!$E$5, $H114 = ""), AY114, IF(OR(AY114 &lt; (1-VLOOKUP($H114,PARÂMETROS!$E:$F,2,FALSE))*$P114, AY114 &gt; (1+VLOOKUP($H114,PARÂMETROS!$E:$F,2,FALSE))*$P114),"",AY114)))</f>
        <v/>
      </c>
      <c r="Z114" s="237" t="str">
        <f>IF(BE114 = "", "", IF(OR($H114 = PARÂMETROS!$E$5, $H114 = ""), BE114, IF(OR(BE114 &lt; (1-VLOOKUP($H114,PARÂMETROS!$E:$F,2,FALSE))*$P114, BE114 &gt; (1+VLOOKUP($H114,PARÂMETROS!$E:$F,2,FALSE))*$P114),"",BE114)))</f>
        <v/>
      </c>
      <c r="AA114" s="207">
        <v>4439.75</v>
      </c>
      <c r="AB114" s="208">
        <v>1053</v>
      </c>
      <c r="AC114" s="206" t="e">
        <f>IF(AND(OR(AA114="",AA114=0),OR(AA114="",AB114=0)),"",IF(OR(AA114="",AA114=0),"DEFINIR PREÇO",IF(OR(AB114="",AB114=0),"DEFINIR FORNECEDOR",IF(OR(AA114&lt;&gt;"",AA114&lt;&gt;0),VLOOKUP(AB114,#REF!,2,FALSE)))))</f>
        <v>#REF!</v>
      </c>
      <c r="AD114" s="217" t="s">
        <v>1977</v>
      </c>
      <c r="AE114" s="218">
        <v>44966</v>
      </c>
      <c r="AF114" s="220" t="str">
        <f t="shared" ca="1" si="49"/>
        <v>DESATUALIZADA</v>
      </c>
      <c r="AG114" s="229">
        <v>3600</v>
      </c>
      <c r="AH114" s="231">
        <v>1902</v>
      </c>
      <c r="AI114" s="206" t="e">
        <f>IF(AND(OR(AG114="",AG114=0),OR(AG114="",AH114=0)),"",IF(OR(AG114="",AG114=0),"DEFINIR PREÇO",IF(OR(AH114="",AH114=0),"DEFINIR FORNECEDOR",IF(OR(AG114&lt;&gt;"",AG114&lt;&gt;0),VLOOKUP(AH114,#REF!,2,FALSE)))))</f>
        <v>#REF!</v>
      </c>
      <c r="AJ114" s="217" t="s">
        <v>1977</v>
      </c>
      <c r="AK114" s="218">
        <v>44966</v>
      </c>
      <c r="AL114" s="220" t="str">
        <f t="shared" ca="1" si="50"/>
        <v>DESATUALIZADA</v>
      </c>
      <c r="AM114" s="229">
        <v>2900</v>
      </c>
      <c r="AN114" s="231">
        <v>1891</v>
      </c>
      <c r="AO114" s="206" t="e">
        <f>IF(AND(OR(AM114="",AM114=0),OR(AM114="",AN114=0)),"",IF(OR(AM114="",AM114=0),"DEFINIR PREÇO",IF(OR(AN114="",AN114=0),"DEFINIR FORNECEDOR",IF(OR(AM114&lt;&gt;"",AM114&lt;&gt;0),VLOOKUP(AN114,#REF!,2,FALSE)))))</f>
        <v>#REF!</v>
      </c>
      <c r="AP114" s="217" t="s">
        <v>1977</v>
      </c>
      <c r="AQ114" s="218">
        <v>44966</v>
      </c>
      <c r="AR114" s="220" t="str">
        <f t="shared" ca="1" si="51"/>
        <v>DESATUALIZADA</v>
      </c>
      <c r="AS114" s="229"/>
      <c r="AT114" s="231"/>
      <c r="AU114" s="194" t="str">
        <f>IF(AND(OR(AS114="",AS114=0),OR(AS114="",AT114=0)),"",IF(OR(AS114="",AS114=0),"DEFINIR PREÇO",IF(OR(AT114="",AT114=0),"DEFINIR FORNECEDOR",IF(OR(AS114&lt;&gt;"",AS114&lt;&gt;0),VLOOKUP(AT114,#REF!,2,FALSE)))))</f>
        <v/>
      </c>
      <c r="AV114" s="217"/>
      <c r="AW114" s="218"/>
      <c r="AX114" s="220" t="str">
        <f t="shared" ca="1" si="52"/>
        <v/>
      </c>
      <c r="AY114" s="229"/>
      <c r="AZ114" s="234"/>
      <c r="BA114" s="209" t="str">
        <f>IF(AND(OR(AY114="",AY114=0),OR(AY114="",AZ114=0)),"",IF(OR(AY114="",AY114=0),"DEFINIR PREÇO",IF(OR(AZ114="",AZ114=0),"DEFINIR FORNECEDOR",IF(OR(AY114&lt;&gt;"",AY114&lt;&gt;0),VLOOKUP(AZ114,#REF!,2,FALSE)))))</f>
        <v/>
      </c>
      <c r="BB114" s="217"/>
      <c r="BC114" s="218"/>
      <c r="BD114" s="220" t="str">
        <f t="shared" ca="1" si="53"/>
        <v/>
      </c>
      <c r="BE114" s="195"/>
      <c r="BF114" s="196"/>
      <c r="BG114" s="194"/>
      <c r="BH114" s="191"/>
      <c r="BI114" s="191"/>
      <c r="BJ114" s="193"/>
    </row>
    <row r="115" spans="1:62" ht="30" x14ac:dyDescent="0.25">
      <c r="A115" s="44" t="s">
        <v>405</v>
      </c>
      <c r="B115" s="58" t="s">
        <v>439</v>
      </c>
      <c r="C115" s="45"/>
      <c r="D115" s="139" t="s">
        <v>440</v>
      </c>
      <c r="E115" s="150" t="s">
        <v>23</v>
      </c>
      <c r="F115" s="46" t="str">
        <f t="shared" si="71"/>
        <v>DEFINIR CRITÉRIO</v>
      </c>
      <c r="G115" s="47" t="str">
        <f t="shared" si="72"/>
        <v>DEFINIR CRITÉRIO</v>
      </c>
      <c r="H115" s="240" t="s">
        <v>2000</v>
      </c>
      <c r="I115" s="240" t="s">
        <v>1999</v>
      </c>
      <c r="J115" s="242" t="str">
        <f>IFERROR(IF(N115&lt;&gt;"",M115,IF(I115 = PARÂMETROS!$B$5,Q115, IF(I115 = PARÂMETROS!$B$6,R115,IF(I115 = PARÂMETROS!$B$7,S115,IF(I115 = PARÂMETROS!$B$8, T115,"DEFINIR CRITÉRIO"))))),"SEM PREÇO")</f>
        <v>DEFINIR CRITÉRIO</v>
      </c>
      <c r="K115" s="241" t="str">
        <f t="shared" si="42"/>
        <v/>
      </c>
      <c r="L115" s="238" t="str">
        <f t="shared" si="43"/>
        <v/>
      </c>
      <c r="M115" s="51"/>
      <c r="N115" s="52"/>
      <c r="O115" s="53"/>
      <c r="P115" s="235">
        <f t="shared" si="44"/>
        <v>587.97333333333336</v>
      </c>
      <c r="Q115" s="236">
        <f t="shared" si="45"/>
        <v>0</v>
      </c>
      <c r="R115" s="236">
        <f t="shared" si="46"/>
        <v>0</v>
      </c>
      <c r="S115" s="236">
        <f t="shared" si="47"/>
        <v>0</v>
      </c>
      <c r="T115" s="236">
        <f t="shared" si="48"/>
        <v>0</v>
      </c>
      <c r="U115" s="237" t="e">
        <f>IF(AA115 = "", "", IF(OR($H115 = PARÂMETROS!$E$5, $H115 = ""), AA115, IF(OR(AA115 &lt; (1-VLOOKUP($H115,PARÂMETROS!$E:$F,2,FALSE))*$P115, AA115 &gt; (1+VLOOKUP($H115,PARÂMETROS!$E:$F,2,FALSE))*$P115),"",AA115)))</f>
        <v>#N/A</v>
      </c>
      <c r="V115" s="237" t="e">
        <f>IF(AG115 = "", "", IF(OR($H115 = PARÂMETROS!$E$5, $H115 = ""), AG115, IF(OR(AG115 &lt; (1-VLOOKUP($H115,PARÂMETROS!$E:$F,2,FALSE))*$P120, AG115 &gt; (1+VLOOKUP($H115,PARÂMETROS!$E:$F,2,FALSE))*$P115),"",AG115)))</f>
        <v>#N/A</v>
      </c>
      <c r="W115" s="237" t="e">
        <f>IF(AM115 = "", "", IF(OR($H115 = PARÂMETROS!$E$5, $H115 = ""), AM115, IF(OR(AM115 &lt; (1-VLOOKUP($H115,PARÂMETROS!$E:$F,2,FALSE))*$P115, AM115 &gt; (1+VLOOKUP($H115,PARÂMETROS!$E:$F,2,FALSE))*$P115),"",AM115)))</f>
        <v>#N/A</v>
      </c>
      <c r="X115" s="237" t="str">
        <f>IF(AS115 = "", "", IF(OR($H115 = PARÂMETROS!$E$5, $H115 = ""), AS115, IF(OR(AS115 &lt; (1-VLOOKUP($H115,PARÂMETROS!$E:$F,2,FALSE))*$P115, AS115 &gt; (1+VLOOKUP($H115,PARÂMETROS!$E:$F,2,FALSE))*$P115),"",AS115)))</f>
        <v/>
      </c>
      <c r="Y115" s="237" t="str">
        <f>IF(AY115 = "", "", IF(OR($H115 = PARÂMETROS!$E$5, $H115 = ""), AY115, IF(OR(AY115 &lt; (1-VLOOKUP($H115,PARÂMETROS!$E:$F,2,FALSE))*$P115, AY115 &gt; (1+VLOOKUP($H115,PARÂMETROS!$E:$F,2,FALSE))*$P115),"",AY115)))</f>
        <v/>
      </c>
      <c r="Z115" s="237" t="str">
        <f>IF(BE115 = "", "", IF(OR($H115 = PARÂMETROS!$E$5, $H115 = ""), BE115, IF(OR(BE115 &lt; (1-VLOOKUP($H115,PARÂMETROS!$E:$F,2,FALSE))*$P115, BE115 &gt; (1+VLOOKUP($H115,PARÂMETROS!$E:$F,2,FALSE))*$P115),"",BE115)))</f>
        <v/>
      </c>
      <c r="AA115" s="207">
        <v>644.65</v>
      </c>
      <c r="AB115" s="208">
        <v>1061</v>
      </c>
      <c r="AC115" s="206" t="e">
        <f>IF(AND(OR(AA115="",AA115=0),OR(AA115="",AB115=0)),"",IF(OR(AA115="",AA115=0),"DEFINIR PREÇO",IF(OR(AB115="",AB115=0),"DEFINIR FORNECEDOR",IF(OR(AA115&lt;&gt;"",AA115&lt;&gt;0),VLOOKUP(AB115,#REF!,2,FALSE)))))</f>
        <v>#REF!</v>
      </c>
      <c r="AD115" s="217" t="s">
        <v>1977</v>
      </c>
      <c r="AE115" s="218">
        <v>44932</v>
      </c>
      <c r="AF115" s="220" t="str">
        <f t="shared" ca="1" si="49"/>
        <v>DESATUALIZADA</v>
      </c>
      <c r="AG115" s="229">
        <v>489.88</v>
      </c>
      <c r="AH115" s="231">
        <v>2197</v>
      </c>
      <c r="AI115" s="206" t="e">
        <f>IF(AND(OR(AG115="",AG115=0),OR(AG115="",AH115=0)),"",IF(OR(AG115="",AG115=0),"DEFINIR PREÇO",IF(OR(AH115="",AH115=0),"DEFINIR FORNECEDOR",IF(OR(AG115&lt;&gt;"",AG115&lt;&gt;0),VLOOKUP(AH115,#REF!,2,FALSE)))))</f>
        <v>#REF!</v>
      </c>
      <c r="AJ115" s="217" t="s">
        <v>1977</v>
      </c>
      <c r="AK115" s="218">
        <v>44932</v>
      </c>
      <c r="AL115" s="220" t="str">
        <f t="shared" ca="1" si="50"/>
        <v>DESATUALIZADA</v>
      </c>
      <c r="AM115" s="229">
        <v>629.39</v>
      </c>
      <c r="AN115" s="231">
        <v>1053</v>
      </c>
      <c r="AO115" s="206" t="e">
        <f>IF(AND(OR(AM115="",AM115=0),OR(AM115="",AN115=0)),"",IF(OR(AM115="",AM115=0),"DEFINIR PREÇO",IF(OR(AN115="",AN115=0),"DEFINIR FORNECEDOR",IF(OR(AM115&lt;&gt;"",AM115&lt;&gt;0),VLOOKUP(AN115,#REF!,2,FALSE)))))</f>
        <v>#REF!</v>
      </c>
      <c r="AP115" s="217" t="s">
        <v>1977</v>
      </c>
      <c r="AQ115" s="218">
        <v>44932</v>
      </c>
      <c r="AR115" s="220" t="str">
        <f t="shared" ca="1" si="51"/>
        <v>DESATUALIZADA</v>
      </c>
      <c r="AS115" s="229"/>
      <c r="AT115" s="231"/>
      <c r="AU115" s="194"/>
      <c r="AV115" s="217"/>
      <c r="AW115" s="218"/>
      <c r="AX115" s="220" t="str">
        <f t="shared" ca="1" si="52"/>
        <v/>
      </c>
      <c r="AY115" s="229"/>
      <c r="AZ115" s="234"/>
      <c r="BA115" s="209" t="str">
        <f>IF(AND(OR(AY115="",AY115=0),OR(AY115="",AZ115=0)),"",IF(OR(AY115="",AY115=0),"DEFINIR PREÇO",IF(OR(AZ115="",AZ115=0),"DEFINIR FORNECEDOR",IF(OR(AY115&lt;&gt;"",AY115&lt;&gt;0),VLOOKUP(AZ115,#REF!,2,FALSE)))))</f>
        <v/>
      </c>
      <c r="BB115" s="217"/>
      <c r="BC115" s="218"/>
      <c r="BD115" s="220" t="str">
        <f t="shared" ca="1" si="53"/>
        <v/>
      </c>
      <c r="BE115" s="195"/>
      <c r="BF115" s="196"/>
      <c r="BG115" s="194"/>
      <c r="BH115" s="194"/>
      <c r="BI115" s="194"/>
      <c r="BJ115" s="197"/>
    </row>
    <row r="116" spans="1:62" x14ac:dyDescent="0.25">
      <c r="A116" s="44" t="s">
        <v>405</v>
      </c>
      <c r="B116" s="58" t="s">
        <v>441</v>
      </c>
      <c r="C116" s="45"/>
      <c r="D116" s="139" t="s">
        <v>442</v>
      </c>
      <c r="E116" s="149" t="s">
        <v>23</v>
      </c>
      <c r="F116" s="46" t="str">
        <f t="shared" si="71"/>
        <v>SEM PREÇO</v>
      </c>
      <c r="G116" s="47" t="str">
        <f t="shared" si="72"/>
        <v>SEM PREÇO</v>
      </c>
      <c r="H116" s="240" t="s">
        <v>2000</v>
      </c>
      <c r="I116" s="240" t="s">
        <v>2001</v>
      </c>
      <c r="J116" s="242" t="str">
        <f>IFERROR(IF(N116&lt;&gt;"",M116,IF(I116 = PARÂMETROS!$B$5,Q116, IF(I116 = PARÂMETROS!$B$6,R116,IF(I116 = PARÂMETROS!$B$7,S116,IF(I116 = PARÂMETROS!$B$8, T116,"DEFINIR CRITÉRIO"))))),"SEM PREÇO")</f>
        <v>SEM PREÇO</v>
      </c>
      <c r="K116" s="241">
        <f t="shared" si="42"/>
        <v>0</v>
      </c>
      <c r="L116" s="238" t="str">
        <f t="shared" si="43"/>
        <v/>
      </c>
      <c r="M116" s="51" t="e">
        <f>VLOOKUP(N116,#REF!,4,FALSE)</f>
        <v>#REF!</v>
      </c>
      <c r="N116" s="52">
        <v>38477</v>
      </c>
      <c r="O116" s="53" t="s">
        <v>404</v>
      </c>
      <c r="P116" s="235">
        <f t="shared" si="44"/>
        <v>0</v>
      </c>
      <c r="Q116" s="236">
        <f t="shared" si="45"/>
        <v>0</v>
      </c>
      <c r="R116" s="236">
        <f t="shared" si="46"/>
        <v>0</v>
      </c>
      <c r="S116" s="236">
        <f t="shared" si="47"/>
        <v>0</v>
      </c>
      <c r="T116" s="236">
        <f t="shared" si="48"/>
        <v>0</v>
      </c>
      <c r="U116" s="237" t="str">
        <f>IF(AA116 = "", "", IF(OR($H116 = PARÂMETROS!$E$5, $H116 = ""), AA116, IF(OR(AA116 &lt; (1-VLOOKUP($H116,PARÂMETROS!$E:$F,2,FALSE))*$P116, AA116 &gt; (1+VLOOKUP($H116,PARÂMETROS!$E:$F,2,FALSE))*$P116),"",AA116)))</f>
        <v/>
      </c>
      <c r="V116" s="237" t="str">
        <f>IF(AG116 = "", "", IF(OR($H116 = PARÂMETROS!$E$5, $H116 = ""), AG116, IF(OR(AG116 &lt; (1-VLOOKUP($H116,PARÂMETROS!$E:$F,2,FALSE))*$P121, AG116 &gt; (1+VLOOKUP($H116,PARÂMETROS!$E:$F,2,FALSE))*$P116),"",AG116)))</f>
        <v/>
      </c>
      <c r="W116" s="237" t="str">
        <f>IF(AM116 = "", "", IF(OR($H116 = PARÂMETROS!$E$5, $H116 = ""), AM116, IF(OR(AM116 &lt; (1-VLOOKUP($H116,PARÂMETROS!$E:$F,2,FALSE))*$P116, AM116 &gt; (1+VLOOKUP($H116,PARÂMETROS!$E:$F,2,FALSE))*$P116),"",AM116)))</f>
        <v/>
      </c>
      <c r="X116" s="237" t="str">
        <f>IF(AS116 = "", "", IF(OR($H116 = PARÂMETROS!$E$5, $H116 = ""), AS116, IF(OR(AS116 &lt; (1-VLOOKUP($H116,PARÂMETROS!$E:$F,2,FALSE))*$P116, AS116 &gt; (1+VLOOKUP($H116,PARÂMETROS!$E:$F,2,FALSE))*$P116),"",AS116)))</f>
        <v/>
      </c>
      <c r="Y116" s="237" t="str">
        <f>IF(AY116 = "", "", IF(OR($H116 = PARÂMETROS!$E$5, $H116 = ""), AY116, IF(OR(AY116 &lt; (1-VLOOKUP($H116,PARÂMETROS!$E:$F,2,FALSE))*$P116, AY116 &gt; (1+VLOOKUP($H116,PARÂMETROS!$E:$F,2,FALSE))*$P116),"",AY116)))</f>
        <v/>
      </c>
      <c r="Z116" s="237" t="str">
        <f>IF(BE116 = "", "", IF(OR($H116 = PARÂMETROS!$E$5, $H116 = ""), BE116, IF(OR(BE116 &lt; (1-VLOOKUP($H116,PARÂMETROS!$E:$F,2,FALSE))*$P116, BE116 &gt; (1+VLOOKUP($H116,PARÂMETROS!$E:$F,2,FALSE))*$P116),"",BE116)))</f>
        <v/>
      </c>
      <c r="AA116" s="207"/>
      <c r="AB116" s="208"/>
      <c r="AC116" s="206" t="str">
        <f>IF(AND(OR(AA116="",AA116=0),OR(AA116="",AB116=0)),"",IF(OR(AA116="",AA116=0),"DEFINIR PREÇO",IF(OR(AB116="",AB116=0),"DEFINIR FORNECEDOR",IF(OR(AA116&lt;&gt;"",AA116&lt;&gt;0),VLOOKUP(AB116,#REF!,2,FALSE)))))</f>
        <v/>
      </c>
      <c r="AD116" s="217"/>
      <c r="AE116" s="218"/>
      <c r="AF116" s="220" t="str">
        <f t="shared" ca="1" si="49"/>
        <v/>
      </c>
      <c r="AG116" s="229"/>
      <c r="AH116" s="231"/>
      <c r="AI116" s="206" t="str">
        <f>IF(AND(OR(AG116="",AG116=0),OR(AG116="",AH116=0)),"",IF(OR(AG116="",AG116=0),"DEFINIR PREÇO",IF(OR(AH116="",AH116=0),"DEFINIR FORNECEDOR",IF(OR(AG116&lt;&gt;"",AG116&lt;&gt;0),VLOOKUP(AH116,#REF!,2,FALSE)))))</f>
        <v/>
      </c>
      <c r="AJ116" s="217"/>
      <c r="AK116" s="218"/>
      <c r="AL116" s="220" t="str">
        <f t="shared" ca="1" si="50"/>
        <v/>
      </c>
      <c r="AM116" s="229"/>
      <c r="AN116" s="231"/>
      <c r="AO116" s="206" t="str">
        <f>IF(AND(OR(AM116="",AM116=0),OR(AM116="",AN116=0)),"",IF(OR(AM116="",AM116=0),"DEFINIR PREÇO",IF(OR(AN116="",AN116=0),"DEFINIR FORNECEDOR",IF(OR(AM116&lt;&gt;"",AM116&lt;&gt;0),VLOOKUP(AN116,#REF!,2,FALSE)))))</f>
        <v/>
      </c>
      <c r="AP116" s="217"/>
      <c r="AQ116" s="218"/>
      <c r="AR116" s="220" t="str">
        <f t="shared" ca="1" si="51"/>
        <v/>
      </c>
      <c r="AS116" s="229"/>
      <c r="AT116" s="231"/>
      <c r="AU116" s="194"/>
      <c r="AV116" s="217"/>
      <c r="AW116" s="218"/>
      <c r="AX116" s="220" t="str">
        <f t="shared" ca="1" si="52"/>
        <v/>
      </c>
      <c r="AY116" s="229"/>
      <c r="AZ116" s="234"/>
      <c r="BA116" s="209" t="str">
        <f>IF(AND(OR(AY116="",AY116=0),OR(AY116="",AZ116=0)),"",IF(OR(AY116="",AY116=0),"DEFINIR PREÇO",IF(OR(AZ116="",AZ116=0),"DEFINIR FORNECEDOR",IF(OR(AY116&lt;&gt;"",AY116&lt;&gt;0),VLOOKUP(AZ116,#REF!,2,FALSE)))))</f>
        <v/>
      </c>
      <c r="BB116" s="217"/>
      <c r="BC116" s="218"/>
      <c r="BD116" s="220" t="str">
        <f t="shared" ca="1" si="53"/>
        <v/>
      </c>
      <c r="BE116" s="195"/>
      <c r="BF116" s="196"/>
      <c r="BG116" s="194"/>
      <c r="BH116" s="194"/>
      <c r="BI116" s="194"/>
      <c r="BJ116" s="197"/>
    </row>
    <row r="117" spans="1:62" ht="25.5" x14ac:dyDescent="0.25">
      <c r="A117" s="44" t="s">
        <v>405</v>
      </c>
      <c r="B117" s="58" t="s">
        <v>443</v>
      </c>
      <c r="C117" s="45"/>
      <c r="D117" s="139" t="s">
        <v>1053</v>
      </c>
      <c r="E117" s="149" t="s">
        <v>23</v>
      </c>
      <c r="F117" s="46" t="str">
        <f t="shared" si="71"/>
        <v>SEM PREÇO</v>
      </c>
      <c r="G117" s="47" t="str">
        <f t="shared" si="72"/>
        <v>SEM PREÇO</v>
      </c>
      <c r="H117" s="240" t="s">
        <v>2000</v>
      </c>
      <c r="I117" s="240" t="s">
        <v>2001</v>
      </c>
      <c r="J117" s="242" t="str">
        <f>IFERROR(IF(N117&lt;&gt;"",M117,IF(I117 = PARÂMETROS!$B$5,Q117, IF(I117 = PARÂMETROS!$B$6,R117,IF(I117 = PARÂMETROS!$B$7,S117,IF(I117 = PARÂMETROS!$B$8, T117,"DEFINIR CRITÉRIO"))))),"SEM PREÇO")</f>
        <v>SEM PREÇO</v>
      </c>
      <c r="K117" s="241">
        <f t="shared" si="42"/>
        <v>0</v>
      </c>
      <c r="L117" s="238" t="str">
        <f t="shared" si="43"/>
        <v/>
      </c>
      <c r="M117" s="51" t="e">
        <f>VLOOKUP(N117,#REF!,4,FALSE)</f>
        <v>#REF!</v>
      </c>
      <c r="N117" s="52">
        <v>38374</v>
      </c>
      <c r="O117" s="53" t="s">
        <v>404</v>
      </c>
      <c r="P117" s="235">
        <f t="shared" si="44"/>
        <v>0</v>
      </c>
      <c r="Q117" s="236">
        <f t="shared" si="45"/>
        <v>0</v>
      </c>
      <c r="R117" s="236">
        <f t="shared" si="46"/>
        <v>0</v>
      </c>
      <c r="S117" s="236">
        <f t="shared" si="47"/>
        <v>0</v>
      </c>
      <c r="T117" s="236">
        <f t="shared" si="48"/>
        <v>0</v>
      </c>
      <c r="U117" s="237" t="str">
        <f>IF(AA117 = "", "", IF(OR($H117 = PARÂMETROS!$E$5, $H117 = ""), AA117, IF(OR(AA117 &lt; (1-VLOOKUP($H117,PARÂMETROS!$E:$F,2,FALSE))*$P117, AA117 &gt; (1+VLOOKUP($H117,PARÂMETROS!$E:$F,2,FALSE))*$P117),"",AA117)))</f>
        <v/>
      </c>
      <c r="V117" s="237" t="str">
        <f>IF(AG117 = "", "", IF(OR($H117 = PARÂMETROS!$E$5, $H117 = ""), AG117, IF(OR(AG117 &lt; (1-VLOOKUP($H117,PARÂMETROS!$E:$F,2,FALSE))*$P122, AG117 &gt; (1+VLOOKUP($H117,PARÂMETROS!$E:$F,2,FALSE))*$P117),"",AG117)))</f>
        <v/>
      </c>
      <c r="W117" s="237" t="str">
        <f>IF(AM117 = "", "", IF(OR($H117 = PARÂMETROS!$E$5, $H117 = ""), AM117, IF(OR(AM117 &lt; (1-VLOOKUP($H117,PARÂMETROS!$E:$F,2,FALSE))*$P117, AM117 &gt; (1+VLOOKUP($H117,PARÂMETROS!$E:$F,2,FALSE))*$P117),"",AM117)))</f>
        <v/>
      </c>
      <c r="X117" s="237" t="str">
        <f>IF(AS117 = "", "", IF(OR($H117 = PARÂMETROS!$E$5, $H117 = ""), AS117, IF(OR(AS117 &lt; (1-VLOOKUP($H117,PARÂMETROS!$E:$F,2,FALSE))*$P117, AS117 &gt; (1+VLOOKUP($H117,PARÂMETROS!$E:$F,2,FALSE))*$P117),"",AS117)))</f>
        <v/>
      </c>
      <c r="Y117" s="237" t="str">
        <f>IF(AY117 = "", "", IF(OR($H117 = PARÂMETROS!$E$5, $H117 = ""), AY117, IF(OR(AY117 &lt; (1-VLOOKUP($H117,PARÂMETROS!$E:$F,2,FALSE))*$P117, AY117 &gt; (1+VLOOKUP($H117,PARÂMETROS!$E:$F,2,FALSE))*$P117),"",AY117)))</f>
        <v/>
      </c>
      <c r="Z117" s="237" t="str">
        <f>IF(BE117 = "", "", IF(OR($H117 = PARÂMETROS!$E$5, $H117 = ""), BE117, IF(OR(BE117 &lt; (1-VLOOKUP($H117,PARÂMETROS!$E:$F,2,FALSE))*$P117, BE117 &gt; (1+VLOOKUP($H117,PARÂMETROS!$E:$F,2,FALSE))*$P117),"",BE117)))</f>
        <v/>
      </c>
      <c r="AA117" s="207"/>
      <c r="AB117" s="208"/>
      <c r="AC117" s="206" t="str">
        <f>IF(AND(OR(AA117="",AA117=0),OR(AA117="",AB117=0)),"",IF(OR(AA117="",AA117=0),"DEFINIR PREÇO",IF(OR(AB117="",AB117=0),"DEFINIR FORNECEDOR",IF(OR(AA117&lt;&gt;"",AA117&lt;&gt;0),VLOOKUP(AB117,#REF!,2,FALSE)))))</f>
        <v/>
      </c>
      <c r="AD117" s="217"/>
      <c r="AE117" s="218"/>
      <c r="AF117" s="220" t="str">
        <f t="shared" ca="1" si="49"/>
        <v/>
      </c>
      <c r="AG117" s="229"/>
      <c r="AH117" s="231"/>
      <c r="AI117" s="206" t="str">
        <f>IF(AND(OR(AG117="",AG117=0),OR(AG117="",AH117=0)),"",IF(OR(AG117="",AG117=0),"DEFINIR PREÇO",IF(OR(AH117="",AH117=0),"DEFINIR FORNECEDOR",IF(OR(AG117&lt;&gt;"",AG117&lt;&gt;0),VLOOKUP(AH117,#REF!,2,FALSE)))))</f>
        <v/>
      </c>
      <c r="AJ117" s="217"/>
      <c r="AK117" s="218"/>
      <c r="AL117" s="220" t="str">
        <f t="shared" ca="1" si="50"/>
        <v/>
      </c>
      <c r="AM117" s="229"/>
      <c r="AN117" s="231"/>
      <c r="AO117" s="206" t="str">
        <f>IF(AND(OR(AM117="",AM117=0),OR(AM117="",AN117=0)),"",IF(OR(AM117="",AM117=0),"DEFINIR PREÇO",IF(OR(AN117="",AN117=0),"DEFINIR FORNECEDOR",IF(OR(AM117&lt;&gt;"",AM117&lt;&gt;0),VLOOKUP(AN117,#REF!,2,FALSE)))))</f>
        <v/>
      </c>
      <c r="AP117" s="217"/>
      <c r="AQ117" s="218"/>
      <c r="AR117" s="220" t="str">
        <f t="shared" ca="1" si="51"/>
        <v/>
      </c>
      <c r="AS117" s="229"/>
      <c r="AT117" s="231"/>
      <c r="AU117" s="194"/>
      <c r="AV117" s="217"/>
      <c r="AW117" s="218"/>
      <c r="AX117" s="220" t="str">
        <f t="shared" ca="1" si="52"/>
        <v/>
      </c>
      <c r="AY117" s="229"/>
      <c r="AZ117" s="234"/>
      <c r="BA117" s="209" t="str">
        <f>IF(AND(OR(AY117="",AY117=0),OR(AY117="",AZ117=0)),"",IF(OR(AY117="",AY117=0),"DEFINIR PREÇO",IF(OR(AZ117="",AZ117=0),"DEFINIR FORNECEDOR",IF(OR(AY117&lt;&gt;"",AY117&lt;&gt;0),VLOOKUP(AZ117,#REF!,2,FALSE)))))</f>
        <v/>
      </c>
      <c r="BB117" s="217"/>
      <c r="BC117" s="218"/>
      <c r="BD117" s="220" t="str">
        <f t="shared" ca="1" si="53"/>
        <v/>
      </c>
      <c r="BE117" s="195"/>
      <c r="BF117" s="196"/>
      <c r="BG117" s="194"/>
      <c r="BH117" s="194"/>
      <c r="BI117" s="194"/>
      <c r="BJ117" s="197"/>
    </row>
    <row r="118" spans="1:62" x14ac:dyDescent="0.25">
      <c r="A118" s="44" t="s">
        <v>405</v>
      </c>
      <c r="B118" s="58" t="s">
        <v>444</v>
      </c>
      <c r="C118" s="45"/>
      <c r="D118" s="139" t="s">
        <v>445</v>
      </c>
      <c r="E118" s="149" t="s">
        <v>20</v>
      </c>
      <c r="F118" s="46" t="e">
        <f>J118/100</f>
        <v>#VALUE!</v>
      </c>
      <c r="G118" s="47" t="e">
        <f>J118/100</f>
        <v>#VALUE!</v>
      </c>
      <c r="H118" s="240" t="s">
        <v>2000</v>
      </c>
      <c r="I118" s="240" t="s">
        <v>2001</v>
      </c>
      <c r="J118" s="242" t="str">
        <f>IFERROR(IF(N118&lt;&gt;"",M118,IF(I118 = PARÂMETROS!$B$5,Q118, IF(I118 = PARÂMETROS!$B$6,R118,IF(I118 = PARÂMETROS!$B$7,S118,IF(I118 = PARÂMETROS!$B$8, T118,"DEFINIR CRITÉRIO"))))),"SEM PREÇO")</f>
        <v>SEM PREÇO</v>
      </c>
      <c r="K118" s="241">
        <f t="shared" si="42"/>
        <v>0</v>
      </c>
      <c r="L118" s="238" t="str">
        <f t="shared" si="43"/>
        <v/>
      </c>
      <c r="M118" s="180" t="e">
        <f>VLOOKUP(N118,#REF!,4,FALSE)</f>
        <v>#REF!</v>
      </c>
      <c r="N118" s="52">
        <v>38200</v>
      </c>
      <c r="O118" s="53" t="s">
        <v>404</v>
      </c>
      <c r="P118" s="235">
        <f t="shared" si="44"/>
        <v>0</v>
      </c>
      <c r="Q118" s="236">
        <f t="shared" si="45"/>
        <v>0</v>
      </c>
      <c r="R118" s="236">
        <f t="shared" si="46"/>
        <v>0</v>
      </c>
      <c r="S118" s="236">
        <f t="shared" si="47"/>
        <v>0</v>
      </c>
      <c r="T118" s="236">
        <f t="shared" si="48"/>
        <v>0</v>
      </c>
      <c r="U118" s="237" t="str">
        <f>IF(AA118 = "", "", IF(OR($H118 = PARÂMETROS!$E$5, $H118 = ""), AA118, IF(OR(AA118 &lt; (1-VLOOKUP($H118,PARÂMETROS!$E:$F,2,FALSE))*$P118, AA118 &gt; (1+VLOOKUP($H118,PARÂMETROS!$E:$F,2,FALSE))*$P118),"",AA118)))</f>
        <v/>
      </c>
      <c r="V118" s="237" t="str">
        <f>IF(AG118 = "", "", IF(OR($H118 = PARÂMETROS!$E$5, $H118 = ""), AG118, IF(OR(AG118 &lt; (1-VLOOKUP($H118,PARÂMETROS!$E:$F,2,FALSE))*$P123, AG118 &gt; (1+VLOOKUP($H118,PARÂMETROS!$E:$F,2,FALSE))*$P118),"",AG118)))</f>
        <v/>
      </c>
      <c r="W118" s="237" t="str">
        <f>IF(AM118 = "", "", IF(OR($H118 = PARÂMETROS!$E$5, $H118 = ""), AM118, IF(OR(AM118 &lt; (1-VLOOKUP($H118,PARÂMETROS!$E:$F,2,FALSE))*$P118, AM118 &gt; (1+VLOOKUP($H118,PARÂMETROS!$E:$F,2,FALSE))*$P118),"",AM118)))</f>
        <v/>
      </c>
      <c r="X118" s="237" t="str">
        <f>IF(AS118 = "", "", IF(OR($H118 = PARÂMETROS!$E$5, $H118 = ""), AS118, IF(OR(AS118 &lt; (1-VLOOKUP($H118,PARÂMETROS!$E:$F,2,FALSE))*$P118, AS118 &gt; (1+VLOOKUP($H118,PARÂMETROS!$E:$F,2,FALSE))*$P118),"",AS118)))</f>
        <v/>
      </c>
      <c r="Y118" s="237" t="str">
        <f>IF(AY118 = "", "", IF(OR($H118 = PARÂMETROS!$E$5, $H118 = ""), AY118, IF(OR(AY118 &lt; (1-VLOOKUP($H118,PARÂMETROS!$E:$F,2,FALSE))*$P118, AY118 &gt; (1+VLOOKUP($H118,PARÂMETROS!$E:$F,2,FALSE))*$P118),"",AY118)))</f>
        <v/>
      </c>
      <c r="Z118" s="237" t="str">
        <f>IF(BE118 = "", "", IF(OR($H118 = PARÂMETROS!$E$5, $H118 = ""), BE118, IF(OR(BE118 &lt; (1-VLOOKUP($H118,PARÂMETROS!$E:$F,2,FALSE))*$P118, BE118 &gt; (1+VLOOKUP($H118,PARÂMETROS!$E:$F,2,FALSE))*$P118),"",BE118)))</f>
        <v/>
      </c>
      <c r="AA118" s="207"/>
      <c r="AB118" s="208"/>
      <c r="AC118" s="206" t="str">
        <f>IF(AND(OR(AA118="",AA118=0),OR(AA118="",AB118=0)),"",IF(OR(AA118="",AA118=0),"DEFINIR PREÇO",IF(OR(AB118="",AB118=0),"DEFINIR FORNECEDOR",IF(OR(AA118&lt;&gt;"",AA118&lt;&gt;0),VLOOKUP(AB118,#REF!,2,FALSE)))))</f>
        <v/>
      </c>
      <c r="AD118" s="217"/>
      <c r="AE118" s="218"/>
      <c r="AF118" s="220" t="str">
        <f t="shared" ca="1" si="49"/>
        <v/>
      </c>
      <c r="AG118" s="229"/>
      <c r="AH118" s="231"/>
      <c r="AI118" s="206" t="str">
        <f>IF(AND(OR(AG118="",AG118=0),OR(AG118="",AH118=0)),"",IF(OR(AG118="",AG118=0),"DEFINIR PREÇO",IF(OR(AH118="",AH118=0),"DEFINIR FORNECEDOR",IF(OR(AG118&lt;&gt;"",AG118&lt;&gt;0),VLOOKUP(AH118,#REF!,2,FALSE)))))</f>
        <v/>
      </c>
      <c r="AJ118" s="217"/>
      <c r="AK118" s="218"/>
      <c r="AL118" s="220" t="str">
        <f t="shared" ca="1" si="50"/>
        <v/>
      </c>
      <c r="AM118" s="229"/>
      <c r="AN118" s="231"/>
      <c r="AO118" s="206" t="str">
        <f>IF(AND(OR(AM118="",AM118=0),OR(AM118="",AN118=0)),"",IF(OR(AM118="",AM118=0),"DEFINIR PREÇO",IF(OR(AN118="",AN118=0),"DEFINIR FORNECEDOR",IF(OR(AM118&lt;&gt;"",AM118&lt;&gt;0),VLOOKUP(AN118,#REF!,2,FALSE)))))</f>
        <v/>
      </c>
      <c r="AP118" s="217"/>
      <c r="AQ118" s="218"/>
      <c r="AR118" s="220" t="str">
        <f t="shared" ca="1" si="51"/>
        <v/>
      </c>
      <c r="AS118" s="229"/>
      <c r="AT118" s="231"/>
      <c r="AU118" s="194"/>
      <c r="AV118" s="217"/>
      <c r="AW118" s="218"/>
      <c r="AX118" s="220" t="str">
        <f t="shared" ca="1" si="52"/>
        <v/>
      </c>
      <c r="AY118" s="229"/>
      <c r="AZ118" s="234"/>
      <c r="BA118" s="209" t="str">
        <f>IF(AND(OR(AY118="",AY118=0),OR(AY118="",AZ118=0)),"",IF(OR(AY118="",AY118=0),"DEFINIR PREÇO",IF(OR(AZ118="",AZ118=0),"DEFINIR FORNECEDOR",IF(OR(AY118&lt;&gt;"",AY118&lt;&gt;0),VLOOKUP(AZ118,#REF!,2,FALSE)))))</f>
        <v/>
      </c>
      <c r="BB118" s="217"/>
      <c r="BC118" s="218"/>
      <c r="BD118" s="220" t="str">
        <f t="shared" ca="1" si="53"/>
        <v/>
      </c>
      <c r="BE118" s="195"/>
      <c r="BF118" s="196"/>
      <c r="BG118" s="194"/>
      <c r="BH118" s="194"/>
      <c r="BI118" s="194"/>
      <c r="BJ118" s="197"/>
    </row>
    <row r="119" spans="1:62" ht="30" x14ac:dyDescent="0.25">
      <c r="A119" s="44" t="s">
        <v>405</v>
      </c>
      <c r="B119" s="58" t="s">
        <v>446</v>
      </c>
      <c r="C119" s="45"/>
      <c r="D119" s="139" t="s">
        <v>447</v>
      </c>
      <c r="E119" s="149" t="s">
        <v>23</v>
      </c>
      <c r="F119" s="46" t="str">
        <f t="shared" si="71"/>
        <v>DEFINIR CRITÉRIO</v>
      </c>
      <c r="G119" s="47" t="str">
        <f t="shared" si="72"/>
        <v>DEFINIR CRITÉRIO</v>
      </c>
      <c r="H119" s="240" t="s">
        <v>2000</v>
      </c>
      <c r="I119" s="240" t="s">
        <v>1999</v>
      </c>
      <c r="J119" s="242" t="str">
        <f>IFERROR(IF(N119&lt;&gt;"",M119,IF(I119 = PARÂMETROS!$B$5,Q119, IF(I119 = PARÂMETROS!$B$6,R119,IF(I119 = PARÂMETROS!$B$7,S119,IF(I119 = PARÂMETROS!$B$8, T119,"DEFINIR CRITÉRIO"))))),"SEM PREÇO")</f>
        <v>DEFINIR CRITÉRIO</v>
      </c>
      <c r="K119" s="241" t="str">
        <f t="shared" si="42"/>
        <v/>
      </c>
      <c r="L119" s="238" t="str">
        <f t="shared" si="43"/>
        <v/>
      </c>
      <c r="M119" s="51"/>
      <c r="N119" s="52"/>
      <c r="O119" s="53"/>
      <c r="P119" s="235">
        <f t="shared" si="44"/>
        <v>1883.9533333333336</v>
      </c>
      <c r="Q119" s="236">
        <f t="shared" si="45"/>
        <v>0</v>
      </c>
      <c r="R119" s="236">
        <f t="shared" si="46"/>
        <v>0</v>
      </c>
      <c r="S119" s="236">
        <f t="shared" si="47"/>
        <v>0</v>
      </c>
      <c r="T119" s="236">
        <f t="shared" si="48"/>
        <v>0</v>
      </c>
      <c r="U119" s="237" t="e">
        <f>IF(AA119 = "", "", IF(OR($H119 = PARÂMETROS!$E$5, $H119 = ""), AA119, IF(OR(AA119 &lt; (1-VLOOKUP($H119,PARÂMETROS!$E:$F,2,FALSE))*$P119, AA119 &gt; (1+VLOOKUP($H119,PARÂMETROS!$E:$F,2,FALSE))*$P119),"",AA119)))</f>
        <v>#N/A</v>
      </c>
      <c r="V119" s="237" t="e">
        <f>IF(AG119 = "", "", IF(OR($H119 = PARÂMETROS!$E$5, $H119 = ""), AG119, IF(OR(AG119 &lt; (1-VLOOKUP($H119,PARÂMETROS!$E:$F,2,FALSE))*$P124, AG119 &gt; (1+VLOOKUP($H119,PARÂMETROS!$E:$F,2,FALSE))*$P119),"",AG119)))</f>
        <v>#N/A</v>
      </c>
      <c r="W119" s="237" t="e">
        <f>IF(AM119 = "", "", IF(OR($H119 = PARÂMETROS!$E$5, $H119 = ""), AM119, IF(OR(AM119 &lt; (1-VLOOKUP($H119,PARÂMETROS!$E:$F,2,FALSE))*$P119, AM119 &gt; (1+VLOOKUP($H119,PARÂMETROS!$E:$F,2,FALSE))*$P119),"",AM119)))</f>
        <v>#N/A</v>
      </c>
      <c r="X119" s="237" t="str">
        <f>IF(AS119 = "", "", IF(OR($H119 = PARÂMETROS!$E$5, $H119 = ""), AS119, IF(OR(AS119 &lt; (1-VLOOKUP($H119,PARÂMETROS!$E:$F,2,FALSE))*$P119, AS119 &gt; (1+VLOOKUP($H119,PARÂMETROS!$E:$F,2,FALSE))*$P119),"",AS119)))</f>
        <v/>
      </c>
      <c r="Y119" s="237" t="str">
        <f>IF(AY119 = "", "", IF(OR($H119 = PARÂMETROS!$E$5, $H119 = ""), AY119, IF(OR(AY119 &lt; (1-VLOOKUP($H119,PARÂMETROS!$E:$F,2,FALSE))*$P119, AY119 &gt; (1+VLOOKUP($H119,PARÂMETROS!$E:$F,2,FALSE))*$P119),"",AY119)))</f>
        <v/>
      </c>
      <c r="Z119" s="237" t="str">
        <f>IF(BE119 = "", "", IF(OR($H119 = PARÂMETROS!$E$5, $H119 = ""), BE119, IF(OR(BE119 &lt; (1-VLOOKUP($H119,PARÂMETROS!$E:$F,2,FALSE))*$P119, BE119 &gt; (1+VLOOKUP($H119,PARÂMETROS!$E:$F,2,FALSE))*$P119),"",BE119)))</f>
        <v/>
      </c>
      <c r="AA119" s="207">
        <v>1559</v>
      </c>
      <c r="AB119" s="208">
        <v>1058</v>
      </c>
      <c r="AC119" s="206" t="e">
        <f>IF(AND(OR(AA119="",AA119=0),OR(AA119="",AB119=0)),"",IF(OR(AA119="",AA119=0),"DEFINIR PREÇO",IF(OR(AB119="",AB119=0),"DEFINIR FORNECEDOR",IF(OR(AA119&lt;&gt;"",AA119&lt;&gt;0),VLOOKUP(AB119,#REF!,2,FALSE)))))</f>
        <v>#REF!</v>
      </c>
      <c r="AD119" s="217" t="s">
        <v>1977</v>
      </c>
      <c r="AE119" s="218">
        <v>44925</v>
      </c>
      <c r="AF119" s="220" t="str">
        <f t="shared" ca="1" si="49"/>
        <v>DESATUALIZADA</v>
      </c>
      <c r="AG119" s="229">
        <v>1965.05</v>
      </c>
      <c r="AH119" s="231">
        <v>1053</v>
      </c>
      <c r="AI119" s="206" t="e">
        <f>IF(AND(OR(AG119="",AG119=0),OR(AG119="",AH119=0)),"",IF(OR(AG119="",AG119=0),"DEFINIR PREÇO",IF(OR(AH119="",AH119=0),"DEFINIR FORNECEDOR",IF(OR(AG119&lt;&gt;"",AG119&lt;&gt;0),VLOOKUP(AH119,#REF!,2,FALSE)))))</f>
        <v>#REF!</v>
      </c>
      <c r="AJ119" s="217" t="s">
        <v>1977</v>
      </c>
      <c r="AK119" s="218">
        <v>44925</v>
      </c>
      <c r="AL119" s="220" t="str">
        <f t="shared" ca="1" si="50"/>
        <v>DESATUALIZADA</v>
      </c>
      <c r="AM119" s="229">
        <v>2127.81</v>
      </c>
      <c r="AN119" s="231">
        <v>1550</v>
      </c>
      <c r="AO119" s="206" t="e">
        <f>IF(AND(OR(AM119="",AM119=0),OR(AM119="",AN119=0)),"",IF(OR(AM119="",AM119=0),"DEFINIR PREÇO",IF(OR(AN119="",AN119=0),"DEFINIR FORNECEDOR",IF(OR(AM119&lt;&gt;"",AM119&lt;&gt;0),VLOOKUP(AN119,#REF!,2,FALSE)))))</f>
        <v>#REF!</v>
      </c>
      <c r="AP119" s="217" t="s">
        <v>1977</v>
      </c>
      <c r="AQ119" s="218">
        <v>44925</v>
      </c>
      <c r="AR119" s="220" t="str">
        <f t="shared" ca="1" si="51"/>
        <v>DESATUALIZADA</v>
      </c>
      <c r="AS119" s="229"/>
      <c r="AT119" s="231"/>
      <c r="AU119" s="194"/>
      <c r="AV119" s="217"/>
      <c r="AW119" s="218"/>
      <c r="AX119" s="220" t="str">
        <f t="shared" ca="1" si="52"/>
        <v/>
      </c>
      <c r="AY119" s="229"/>
      <c r="AZ119" s="234"/>
      <c r="BA119" s="209" t="str">
        <f>IF(AND(OR(AY119="",AY119=0),OR(AY119="",AZ119=0)),"",IF(OR(AY119="",AY119=0),"DEFINIR PREÇO",IF(OR(AZ119="",AZ119=0),"DEFINIR FORNECEDOR",IF(OR(AY119&lt;&gt;"",AY119&lt;&gt;0),VLOOKUP(AZ119,#REF!,2,FALSE)))))</f>
        <v/>
      </c>
      <c r="BB119" s="217"/>
      <c r="BC119" s="218"/>
      <c r="BD119" s="220" t="str">
        <f t="shared" ca="1" si="53"/>
        <v/>
      </c>
      <c r="BE119" s="195"/>
      <c r="BF119" s="196"/>
      <c r="BG119" s="194"/>
      <c r="BH119" s="194"/>
      <c r="BI119" s="194"/>
      <c r="BJ119" s="197"/>
    </row>
    <row r="120" spans="1:62" ht="30" x14ac:dyDescent="0.25">
      <c r="A120" s="44" t="s">
        <v>405</v>
      </c>
      <c r="B120" s="58" t="s">
        <v>448</v>
      </c>
      <c r="C120" s="45"/>
      <c r="D120" s="139" t="s">
        <v>449</v>
      </c>
      <c r="E120" s="149" t="s">
        <v>23</v>
      </c>
      <c r="F120" s="46" t="str">
        <f>J120</f>
        <v>DEFINIR CRITÉRIO</v>
      </c>
      <c r="G120" s="47" t="str">
        <f>J120</f>
        <v>DEFINIR CRITÉRIO</v>
      </c>
      <c r="H120" s="240" t="s">
        <v>2000</v>
      </c>
      <c r="I120" s="240" t="s">
        <v>2001</v>
      </c>
      <c r="J120" s="242" t="str">
        <f>IFERROR(IF(N120&lt;&gt;"",M120,IF(I120 = PARÂMETROS!$B$5,Q120, IF(I120 = PARÂMETROS!$B$6,R120,IF(I120 = PARÂMETROS!$B$7,S120,IF(I120 = PARÂMETROS!$B$8, T120,"DEFINIR CRITÉRIO"))))),"SEM PREÇO")</f>
        <v>DEFINIR CRITÉRIO</v>
      </c>
      <c r="K120" s="241" t="str">
        <f t="shared" si="42"/>
        <v/>
      </c>
      <c r="L120" s="238" t="str">
        <f t="shared" si="43"/>
        <v/>
      </c>
      <c r="M120" s="51"/>
      <c r="N120" s="52"/>
      <c r="O120" s="53"/>
      <c r="P120" s="235">
        <f t="shared" si="44"/>
        <v>470.2</v>
      </c>
      <c r="Q120" s="236">
        <f t="shared" si="45"/>
        <v>0</v>
      </c>
      <c r="R120" s="236">
        <f t="shared" si="46"/>
        <v>0</v>
      </c>
      <c r="S120" s="236">
        <f t="shared" si="47"/>
        <v>0</v>
      </c>
      <c r="T120" s="236">
        <f t="shared" si="48"/>
        <v>0</v>
      </c>
      <c r="U120" s="237" t="e">
        <f>IF(AA120 = "", "", IF(OR($H120 = PARÂMETROS!$E$5, $H120 = ""), AA120, IF(OR(AA120 &lt; (1-VLOOKUP($H120,PARÂMETROS!$E:$F,2,FALSE))*$P120, AA120 &gt; (1+VLOOKUP($H120,PARÂMETROS!$E:$F,2,FALSE))*$P120),"",AA120)))</f>
        <v>#N/A</v>
      </c>
      <c r="V120" s="237" t="e">
        <f>IF(AG120 = "", "", IF(OR($H120 = PARÂMETROS!$E$5, $H120 = ""), AG120, IF(OR(AG120 &lt; (1-VLOOKUP($H120,PARÂMETROS!$E:$F,2,FALSE))*$P125, AG120 &gt; (1+VLOOKUP($H120,PARÂMETROS!$E:$F,2,FALSE))*$P120),"",AG120)))</f>
        <v>#N/A</v>
      </c>
      <c r="W120" s="237" t="e">
        <f>IF(AM120 = "", "", IF(OR($H120 = PARÂMETROS!$E$5, $H120 = ""), AM120, IF(OR(AM120 &lt; (1-VLOOKUP($H120,PARÂMETROS!$E:$F,2,FALSE))*$P120, AM120 &gt; (1+VLOOKUP($H120,PARÂMETROS!$E:$F,2,FALSE))*$P120),"",AM120)))</f>
        <v>#N/A</v>
      </c>
      <c r="X120" s="237" t="str">
        <f>IF(AS120 = "", "", IF(OR($H120 = PARÂMETROS!$E$5, $H120 = ""), AS120, IF(OR(AS120 &lt; (1-VLOOKUP($H120,PARÂMETROS!$E:$F,2,FALSE))*$P120, AS120 &gt; (1+VLOOKUP($H120,PARÂMETROS!$E:$F,2,FALSE))*$P120),"",AS120)))</f>
        <v/>
      </c>
      <c r="Y120" s="237" t="str">
        <f>IF(AY120 = "", "", IF(OR($H120 = PARÂMETROS!$E$5, $H120 = ""), AY120, IF(OR(AY120 &lt; (1-VLOOKUP($H120,PARÂMETROS!$E:$F,2,FALSE))*$P120, AY120 &gt; (1+VLOOKUP($H120,PARÂMETROS!$E:$F,2,FALSE))*$P120),"",AY120)))</f>
        <v/>
      </c>
      <c r="Z120" s="237" t="str">
        <f>IF(BE120 = "", "", IF(OR($H120 = PARÂMETROS!$E$5, $H120 = ""), BE120, IF(OR(BE120 &lt; (1-VLOOKUP($H120,PARÂMETROS!$E:$F,2,FALSE))*$P120, BE120 &gt; (1+VLOOKUP($H120,PARÂMETROS!$E:$F,2,FALSE))*$P120),"",BE120)))</f>
        <v/>
      </c>
      <c r="AA120" s="207">
        <v>420</v>
      </c>
      <c r="AB120" s="208">
        <v>1055</v>
      </c>
      <c r="AC120" s="206" t="e">
        <f>IF(AND(OR(AA120="",AA120=0),OR(AA120="",AB120=0)),"",IF(OR(AA120="",AA120=0),"DEFINIR PREÇO",IF(OR(AB120="",AB120=0),"DEFINIR FORNECEDOR",IF(OR(AA120&lt;&gt;"",AA120&lt;&gt;0),VLOOKUP(AB120,#REF!,2,FALSE)))))</f>
        <v>#REF!</v>
      </c>
      <c r="AD120" s="217" t="s">
        <v>1977</v>
      </c>
      <c r="AE120" s="218">
        <v>44932</v>
      </c>
      <c r="AF120" s="220" t="str">
        <f t="shared" ca="1" si="49"/>
        <v>DESATUALIZADA</v>
      </c>
      <c r="AG120" s="229">
        <v>453.7</v>
      </c>
      <c r="AH120" s="231">
        <v>1044</v>
      </c>
      <c r="AI120" s="206" t="e">
        <f>IF(AND(OR(AG120="",AG120=0),OR(AG120="",AH120=0)),"",IF(OR(AG120="",AG120=0),"DEFINIR PREÇO",IF(OR(AH120="",AH120=0),"DEFINIR FORNECEDOR",IF(OR(AG120&lt;&gt;"",AG120&lt;&gt;0),VLOOKUP(AH120,#REF!,2,FALSE)))))</f>
        <v>#REF!</v>
      </c>
      <c r="AJ120" s="217" t="s">
        <v>1977</v>
      </c>
      <c r="AK120" s="218">
        <v>44932</v>
      </c>
      <c r="AL120" s="220" t="str">
        <f t="shared" ca="1" si="50"/>
        <v>DESATUALIZADA</v>
      </c>
      <c r="AM120" s="229">
        <v>536.9</v>
      </c>
      <c r="AN120" s="231">
        <v>1053</v>
      </c>
      <c r="AO120" s="206" t="e">
        <f>IF(AND(OR(AM120="",AM120=0),OR(AM120="",AN120=0)),"",IF(OR(AM120="",AM120=0),"DEFINIR PREÇO",IF(OR(AN120="",AN120=0),"DEFINIR FORNECEDOR",IF(OR(AM120&lt;&gt;"",AM120&lt;&gt;0),VLOOKUP(AN120,#REF!,2,FALSE)))))</f>
        <v>#REF!</v>
      </c>
      <c r="AP120" s="217" t="s">
        <v>1977</v>
      </c>
      <c r="AQ120" s="218">
        <v>44932</v>
      </c>
      <c r="AR120" s="220" t="str">
        <f t="shared" ca="1" si="51"/>
        <v>DESATUALIZADA</v>
      </c>
      <c r="AS120" s="229"/>
      <c r="AT120" s="231"/>
      <c r="AU120" s="194"/>
      <c r="AV120" s="217"/>
      <c r="AW120" s="218"/>
      <c r="AX120" s="220" t="str">
        <f t="shared" ca="1" si="52"/>
        <v/>
      </c>
      <c r="AY120" s="229"/>
      <c r="AZ120" s="234"/>
      <c r="BA120" s="209" t="str">
        <f>IF(AND(OR(AY120="",AY120=0),OR(AY120="",AZ120=0)),"",IF(OR(AY120="",AY120=0),"DEFINIR PREÇO",IF(OR(AZ120="",AZ120=0),"DEFINIR FORNECEDOR",IF(OR(AY120&lt;&gt;"",AY120&lt;&gt;0),VLOOKUP(AZ120,#REF!,2,FALSE)))))</f>
        <v/>
      </c>
      <c r="BB120" s="217"/>
      <c r="BC120" s="218"/>
      <c r="BD120" s="220" t="str">
        <f t="shared" ca="1" si="53"/>
        <v/>
      </c>
      <c r="BE120" s="195"/>
      <c r="BF120" s="196"/>
      <c r="BG120" s="194"/>
      <c r="BH120" s="194"/>
      <c r="BI120" s="194"/>
      <c r="BJ120" s="197"/>
    </row>
    <row r="121" spans="1:62" ht="30" x14ac:dyDescent="0.25">
      <c r="A121" s="44" t="s">
        <v>405</v>
      </c>
      <c r="B121" s="58" t="s">
        <v>450</v>
      </c>
      <c r="C121" s="45"/>
      <c r="D121" s="139" t="s">
        <v>2071</v>
      </c>
      <c r="E121" s="149" t="s">
        <v>23</v>
      </c>
      <c r="F121" s="46" t="str">
        <f t="shared" ref="F121:F126" si="73">J121</f>
        <v>DEFINIR CRITÉRIO</v>
      </c>
      <c r="G121" s="47" t="str">
        <f t="shared" si="72"/>
        <v>DEFINIR CRITÉRIO</v>
      </c>
      <c r="H121" s="240" t="s">
        <v>2000</v>
      </c>
      <c r="I121" s="240" t="s">
        <v>1999</v>
      </c>
      <c r="J121" s="242" t="str">
        <f>IFERROR(IF(N121&lt;&gt;"",M121,IF(I121 = PARÂMETROS!$B$5,Q121, IF(I121 = PARÂMETROS!$B$6,R121,IF(I121 = PARÂMETROS!$B$7,S121,IF(I121 = PARÂMETROS!$B$8, T121,"DEFINIR CRITÉRIO"))))),"SEM PREÇO")</f>
        <v>DEFINIR CRITÉRIO</v>
      </c>
      <c r="K121" s="241" t="str">
        <f t="shared" si="42"/>
        <v/>
      </c>
      <c r="L121" s="238" t="str">
        <f t="shared" si="43"/>
        <v/>
      </c>
      <c r="M121" s="51"/>
      <c r="N121" s="52"/>
      <c r="O121" s="53"/>
      <c r="P121" s="235">
        <f t="shared" si="44"/>
        <v>79.833333333333329</v>
      </c>
      <c r="Q121" s="236">
        <f t="shared" si="45"/>
        <v>0</v>
      </c>
      <c r="R121" s="236">
        <f t="shared" si="46"/>
        <v>0</v>
      </c>
      <c r="S121" s="236">
        <f t="shared" si="47"/>
        <v>0</v>
      </c>
      <c r="T121" s="236">
        <f t="shared" si="48"/>
        <v>0</v>
      </c>
      <c r="U121" s="237" t="e">
        <f>IF(AA121 = "", "", IF(OR($H121 = PARÂMETROS!$E$5, $H121 = ""), AA121, IF(OR(AA121 &lt; (1-VLOOKUP($H121,PARÂMETROS!$E:$F,2,FALSE))*$P121, AA121 &gt; (1+VLOOKUP($H121,PARÂMETROS!$E:$F,2,FALSE))*$P121),"",AA121)))</f>
        <v>#N/A</v>
      </c>
      <c r="V121" s="237" t="e">
        <f>IF(AG121 = "", "", IF(OR($H121 = PARÂMETROS!$E$5, $H121 = ""), AG121, IF(OR(AG121 &lt; (1-VLOOKUP($H121,PARÂMETROS!$E:$F,2,FALSE))*$P126, AG121 &gt; (1+VLOOKUP($H121,PARÂMETROS!$E:$F,2,FALSE))*$P121),"",AG121)))</f>
        <v>#N/A</v>
      </c>
      <c r="W121" s="237" t="e">
        <f>IF(AM121 = "", "", IF(OR($H121 = PARÂMETROS!$E$5, $H121 = ""), AM121, IF(OR(AM121 &lt; (1-VLOOKUP($H121,PARÂMETROS!$E:$F,2,FALSE))*$P121, AM121 &gt; (1+VLOOKUP($H121,PARÂMETROS!$E:$F,2,FALSE))*$P121),"",AM121)))</f>
        <v>#N/A</v>
      </c>
      <c r="X121" s="237" t="str">
        <f>IF(AS121 = "", "", IF(OR($H121 = PARÂMETROS!$E$5, $H121 = ""), AS121, IF(OR(AS121 &lt; (1-VLOOKUP($H121,PARÂMETROS!$E:$F,2,FALSE))*$P121, AS121 &gt; (1+VLOOKUP($H121,PARÂMETROS!$E:$F,2,FALSE))*$P121),"",AS121)))</f>
        <v/>
      </c>
      <c r="Y121" s="237" t="str">
        <f>IF(AY121 = "", "", IF(OR($H121 = PARÂMETROS!$E$5, $H121 = ""), AY121, IF(OR(AY121 &lt; (1-VLOOKUP($H121,PARÂMETROS!$E:$F,2,FALSE))*$P121, AY121 &gt; (1+VLOOKUP($H121,PARÂMETROS!$E:$F,2,FALSE))*$P121),"",AY121)))</f>
        <v/>
      </c>
      <c r="Z121" s="237" t="str">
        <f>IF(BE121 = "", "", IF(OR($H121 = PARÂMETROS!$E$5, $H121 = ""), BE121, IF(OR(BE121 &lt; (1-VLOOKUP($H121,PARÂMETROS!$E:$F,2,FALSE))*$P121, BE121 &gt; (1+VLOOKUP($H121,PARÂMETROS!$E:$F,2,FALSE))*$P121),"",BE121)))</f>
        <v/>
      </c>
      <c r="AA121" s="207">
        <v>84</v>
      </c>
      <c r="AB121" s="208">
        <v>1055</v>
      </c>
      <c r="AC121" s="206" t="e">
        <f>IF(AND(OR(AA121="",AA121=0),OR(AA121="",AB121=0)),"",IF(OR(AA121="",AA121=0),"DEFINIR PREÇO",IF(OR(AB121="",AB121=0),"DEFINIR FORNECEDOR",IF(OR(AA121&lt;&gt;"",AA121&lt;&gt;0),VLOOKUP(AB121,#REF!,2,FALSE)))))</f>
        <v>#REF!</v>
      </c>
      <c r="AD121" s="217" t="s">
        <v>1977</v>
      </c>
      <c r="AE121" s="218">
        <v>44932</v>
      </c>
      <c r="AF121" s="220" t="str">
        <f t="shared" ca="1" si="49"/>
        <v>DESATUALIZADA</v>
      </c>
      <c r="AG121" s="229">
        <v>85.5</v>
      </c>
      <c r="AH121" s="231">
        <v>1061</v>
      </c>
      <c r="AI121" s="206" t="e">
        <f>IF(AND(OR(AG121="",AG121=0),OR(AG121="",AH121=0)),"",IF(OR(AG121="",AG121=0),"DEFINIR PREÇO",IF(OR(AH121="",AH121=0),"DEFINIR FORNECEDOR",IF(OR(AG121&lt;&gt;"",AG121&lt;&gt;0),VLOOKUP(AH121,#REF!,2,FALSE)))))</f>
        <v>#REF!</v>
      </c>
      <c r="AJ121" s="217" t="s">
        <v>1977</v>
      </c>
      <c r="AK121" s="218">
        <v>44932</v>
      </c>
      <c r="AL121" s="220" t="str">
        <f t="shared" ca="1" si="50"/>
        <v>DESATUALIZADA</v>
      </c>
      <c r="AM121" s="229">
        <v>70</v>
      </c>
      <c r="AN121" s="231">
        <v>1056</v>
      </c>
      <c r="AO121" s="206" t="e">
        <f>IF(AND(OR(AM121="",AM121=0),OR(AM121="",AN121=0)),"",IF(OR(AM121="",AM121=0),"DEFINIR PREÇO",IF(OR(AN121="",AN121=0),"DEFINIR FORNECEDOR",IF(OR(AM121&lt;&gt;"",AM121&lt;&gt;0),VLOOKUP(AN121,#REF!,2,FALSE)))))</f>
        <v>#REF!</v>
      </c>
      <c r="AP121" s="217" t="s">
        <v>1977</v>
      </c>
      <c r="AQ121" s="218">
        <v>44932</v>
      </c>
      <c r="AR121" s="220" t="str">
        <f t="shared" ca="1" si="51"/>
        <v>DESATUALIZADA</v>
      </c>
      <c r="AS121" s="229"/>
      <c r="AT121" s="231"/>
      <c r="AU121" s="194"/>
      <c r="AV121" s="217"/>
      <c r="AW121" s="218"/>
      <c r="AX121" s="220" t="str">
        <f t="shared" ca="1" si="52"/>
        <v/>
      </c>
      <c r="AY121" s="229"/>
      <c r="AZ121" s="234"/>
      <c r="BA121" s="209" t="str">
        <f>IF(AND(OR(AY121="",AY121=0),OR(AY121="",AZ121=0)),"",IF(OR(AY121="",AY121=0),"DEFINIR PREÇO",IF(OR(AZ121="",AZ121=0),"DEFINIR FORNECEDOR",IF(OR(AY121&lt;&gt;"",AY121&lt;&gt;0),VLOOKUP(AZ121,#REF!,2,FALSE)))))</f>
        <v/>
      </c>
      <c r="BB121" s="217"/>
      <c r="BC121" s="218"/>
      <c r="BD121" s="220" t="str">
        <f t="shared" ca="1" si="53"/>
        <v/>
      </c>
      <c r="BE121" s="195"/>
      <c r="BF121" s="196"/>
      <c r="BG121" s="194"/>
      <c r="BH121" s="194"/>
      <c r="BI121" s="194"/>
      <c r="BJ121" s="197"/>
    </row>
    <row r="122" spans="1:62" ht="30" x14ac:dyDescent="0.25">
      <c r="A122" s="44" t="s">
        <v>405</v>
      </c>
      <c r="B122" s="58" t="s">
        <v>451</v>
      </c>
      <c r="C122" s="45"/>
      <c r="D122" s="139" t="s">
        <v>2072</v>
      </c>
      <c r="E122" s="150" t="s">
        <v>23</v>
      </c>
      <c r="F122" s="46" t="str">
        <f t="shared" si="73"/>
        <v>DEFINIR CRITÉRIO</v>
      </c>
      <c r="G122" s="47" t="str">
        <f t="shared" si="72"/>
        <v>DEFINIR CRITÉRIO</v>
      </c>
      <c r="H122" s="240" t="s">
        <v>2000</v>
      </c>
      <c r="I122" s="240" t="s">
        <v>2001</v>
      </c>
      <c r="J122" s="242" t="str">
        <f>IFERROR(IF(N122&lt;&gt;"",M122,IF(I122 = PARÂMETROS!$B$5,Q122, IF(I122 = PARÂMETROS!$B$6,R122,IF(I122 = PARÂMETROS!$B$7,S122,IF(I122 = PARÂMETROS!$B$8, T122,"DEFINIR CRITÉRIO"))))),"SEM PREÇO")</f>
        <v>DEFINIR CRITÉRIO</v>
      </c>
      <c r="K122" s="241" t="str">
        <f t="shared" si="42"/>
        <v/>
      </c>
      <c r="L122" s="238" t="str">
        <f t="shared" si="43"/>
        <v/>
      </c>
      <c r="M122" s="51"/>
      <c r="N122" s="52"/>
      <c r="O122" s="53"/>
      <c r="P122" s="235">
        <f t="shared" si="44"/>
        <v>156.38</v>
      </c>
      <c r="Q122" s="236">
        <f t="shared" si="45"/>
        <v>0</v>
      </c>
      <c r="R122" s="236">
        <f t="shared" si="46"/>
        <v>0</v>
      </c>
      <c r="S122" s="236">
        <f t="shared" si="47"/>
        <v>0</v>
      </c>
      <c r="T122" s="236">
        <f t="shared" si="48"/>
        <v>0</v>
      </c>
      <c r="U122" s="237" t="e">
        <f>IF(AA122 = "", "", IF(OR($H122 = PARÂMETROS!$E$5, $H122 = ""), AA122, IF(OR(AA122 &lt; (1-VLOOKUP($H122,PARÂMETROS!$E:$F,2,FALSE))*$P122, AA122 &gt; (1+VLOOKUP($H122,PARÂMETROS!$E:$F,2,FALSE))*$P122),"",AA122)))</f>
        <v>#N/A</v>
      </c>
      <c r="V122" s="237" t="e">
        <f>IF(AG122 = "", "", IF(OR($H122 = PARÂMETROS!$E$5, $H122 = ""), AG122, IF(OR(AG122 &lt; (1-VLOOKUP($H122,PARÂMETROS!$E:$F,2,FALSE))*$P127, AG122 &gt; (1+VLOOKUP($H122,PARÂMETROS!$E:$F,2,FALSE))*$P122),"",AG122)))</f>
        <v>#N/A</v>
      </c>
      <c r="W122" s="237" t="e">
        <f>IF(AM122 = "", "", IF(OR($H122 = PARÂMETROS!$E$5, $H122 = ""), AM122, IF(OR(AM122 &lt; (1-VLOOKUP($H122,PARÂMETROS!$E:$F,2,FALSE))*$P122, AM122 &gt; (1+VLOOKUP($H122,PARÂMETROS!$E:$F,2,FALSE))*$P122),"",AM122)))</f>
        <v>#N/A</v>
      </c>
      <c r="X122" s="237" t="str">
        <f>IF(AS122 = "", "", IF(OR($H122 = PARÂMETROS!$E$5, $H122 = ""), AS122, IF(OR(AS122 &lt; (1-VLOOKUP($H122,PARÂMETROS!$E:$F,2,FALSE))*$P122, AS122 &gt; (1+VLOOKUP($H122,PARÂMETROS!$E:$F,2,FALSE))*$P122),"",AS122)))</f>
        <v/>
      </c>
      <c r="Y122" s="237" t="str">
        <f>IF(AY122 = "", "", IF(OR($H122 = PARÂMETROS!$E$5, $H122 = ""), AY122, IF(OR(AY122 &lt; (1-VLOOKUP($H122,PARÂMETROS!$E:$F,2,FALSE))*$P122, AY122 &gt; (1+VLOOKUP($H122,PARÂMETROS!$E:$F,2,FALSE))*$P122),"",AY122)))</f>
        <v/>
      </c>
      <c r="Z122" s="237" t="str">
        <f>IF(BE122 = "", "", IF(OR($H122 = PARÂMETROS!$E$5, $H122 = ""), BE122, IF(OR(BE122 &lt; (1-VLOOKUP($H122,PARÂMETROS!$E:$F,2,FALSE))*$P122, BE122 &gt; (1+VLOOKUP($H122,PARÂMETROS!$E:$F,2,FALSE))*$P122),"",BE122)))</f>
        <v/>
      </c>
      <c r="AA122" s="207">
        <v>156</v>
      </c>
      <c r="AB122" s="208">
        <v>1055</v>
      </c>
      <c r="AC122" s="206" t="e">
        <f>IF(AND(OR(AA122="",AA122=0),OR(AA122="",AB122=0)),"",IF(OR(AA122="",AA122=0),"DEFINIR PREÇO",IF(OR(AB122="",AB122=0),"DEFINIR FORNECEDOR",IF(OR(AA122&lt;&gt;"",AA122&lt;&gt;0),VLOOKUP(AB122,#REF!,2,FALSE)))))</f>
        <v>#REF!</v>
      </c>
      <c r="AD122" s="217" t="s">
        <v>1977</v>
      </c>
      <c r="AE122" s="218">
        <v>44932</v>
      </c>
      <c r="AF122" s="220" t="str">
        <f t="shared" ca="1" si="49"/>
        <v>DESATUALIZADA</v>
      </c>
      <c r="AG122" s="229">
        <v>154.13999999999999</v>
      </c>
      <c r="AH122" s="231">
        <v>1061</v>
      </c>
      <c r="AI122" s="206" t="e">
        <f>IF(AND(OR(AG122="",AG122=0),OR(AG122="",AH122=0)),"",IF(OR(AG122="",AG122=0),"DEFINIR PREÇO",IF(OR(AH122="",AH122=0),"DEFINIR FORNECEDOR",IF(OR(AG122&lt;&gt;"",AG122&lt;&gt;0),VLOOKUP(AH122,#REF!,2,FALSE)))))</f>
        <v>#REF!</v>
      </c>
      <c r="AJ122" s="217" t="s">
        <v>1977</v>
      </c>
      <c r="AK122" s="218">
        <v>44932</v>
      </c>
      <c r="AL122" s="220" t="str">
        <f t="shared" ca="1" si="50"/>
        <v>DESATUALIZADA</v>
      </c>
      <c r="AM122" s="229">
        <v>159</v>
      </c>
      <c r="AN122" s="231">
        <v>1890</v>
      </c>
      <c r="AO122" s="206" t="e">
        <f>IF(AND(OR(AM122="",AM122=0),OR(AM122="",AN122=0)),"",IF(OR(AM122="",AM122=0),"DEFINIR PREÇO",IF(OR(AN122="",AN122=0),"DEFINIR FORNECEDOR",IF(OR(AM122&lt;&gt;"",AM122&lt;&gt;0),VLOOKUP(AN122,#REF!,2,FALSE)))))</f>
        <v>#REF!</v>
      </c>
      <c r="AP122" s="217" t="s">
        <v>1977</v>
      </c>
      <c r="AQ122" s="218">
        <v>44932</v>
      </c>
      <c r="AR122" s="220" t="str">
        <f t="shared" ca="1" si="51"/>
        <v>DESATUALIZADA</v>
      </c>
      <c r="AS122" s="229"/>
      <c r="AT122" s="231"/>
      <c r="AU122" s="194"/>
      <c r="AV122" s="217"/>
      <c r="AW122" s="218"/>
      <c r="AX122" s="220" t="str">
        <f t="shared" ca="1" si="52"/>
        <v/>
      </c>
      <c r="AY122" s="229"/>
      <c r="AZ122" s="234"/>
      <c r="BA122" s="209" t="str">
        <f>IF(AND(OR(AY122="",AY122=0),OR(AY122="",AZ122=0)),"",IF(OR(AY122="",AY122=0),"DEFINIR PREÇO",IF(OR(AZ122="",AZ122=0),"DEFINIR FORNECEDOR",IF(OR(AY122&lt;&gt;"",AY122&lt;&gt;0),VLOOKUP(AZ122,#REF!,2,FALSE)))))</f>
        <v/>
      </c>
      <c r="BB122" s="217"/>
      <c r="BC122" s="218"/>
      <c r="BD122" s="220" t="str">
        <f t="shared" ca="1" si="53"/>
        <v/>
      </c>
      <c r="BE122" s="195"/>
      <c r="BF122" s="196"/>
      <c r="BG122" s="194"/>
      <c r="BH122" s="194"/>
      <c r="BI122" s="194"/>
      <c r="BJ122" s="197"/>
    </row>
    <row r="123" spans="1:62" ht="30" x14ac:dyDescent="0.25">
      <c r="A123" s="44" t="s">
        <v>405</v>
      </c>
      <c r="B123" s="58" t="s">
        <v>452</v>
      </c>
      <c r="C123" s="45"/>
      <c r="D123" s="139" t="s">
        <v>2073</v>
      </c>
      <c r="E123" s="149" t="s">
        <v>23</v>
      </c>
      <c r="F123" s="46" t="str">
        <f t="shared" si="73"/>
        <v>DEFINIR CRITÉRIO</v>
      </c>
      <c r="G123" s="47" t="str">
        <f t="shared" si="72"/>
        <v>DEFINIR CRITÉRIO</v>
      </c>
      <c r="H123" s="240" t="s">
        <v>2000</v>
      </c>
      <c r="I123" s="240" t="s">
        <v>1999</v>
      </c>
      <c r="J123" s="242" t="str">
        <f>IFERROR(IF(N123&lt;&gt;"",M123,IF(I123 = PARÂMETROS!$B$5,Q123, IF(I123 = PARÂMETROS!$B$6,R123,IF(I123 = PARÂMETROS!$B$7,S123,IF(I123 = PARÂMETROS!$B$8, T123,"DEFINIR CRITÉRIO"))))),"SEM PREÇO")</f>
        <v>DEFINIR CRITÉRIO</v>
      </c>
      <c r="K123" s="241" t="str">
        <f t="shared" si="42"/>
        <v/>
      </c>
      <c r="L123" s="238" t="str">
        <f t="shared" si="43"/>
        <v/>
      </c>
      <c r="M123" s="51"/>
      <c r="N123" s="52"/>
      <c r="O123" s="53"/>
      <c r="P123" s="235">
        <f t="shared" si="44"/>
        <v>518.59666666666669</v>
      </c>
      <c r="Q123" s="236">
        <f t="shared" si="45"/>
        <v>0</v>
      </c>
      <c r="R123" s="236">
        <f t="shared" si="46"/>
        <v>0</v>
      </c>
      <c r="S123" s="236">
        <f t="shared" si="47"/>
        <v>0</v>
      </c>
      <c r="T123" s="236">
        <f t="shared" si="48"/>
        <v>0</v>
      </c>
      <c r="U123" s="237" t="e">
        <f>IF(AA123 = "", "", IF(OR($H123 = PARÂMETROS!$E$5, $H123 = ""), AA123, IF(OR(AA123 &lt; (1-VLOOKUP($H123,PARÂMETROS!$E:$F,2,FALSE))*$P123, AA123 &gt; (1+VLOOKUP($H123,PARÂMETROS!$E:$F,2,FALSE))*$P123),"",AA123)))</f>
        <v>#N/A</v>
      </c>
      <c r="V123" s="237" t="e">
        <f>IF(AG123 = "", "", IF(OR($H123 = PARÂMETROS!$E$5, $H123 = ""), AG123, IF(OR(AG123 &lt; (1-VLOOKUP($H123,PARÂMETROS!$E:$F,2,FALSE))*$P128, AG123 &gt; (1+VLOOKUP($H123,PARÂMETROS!$E:$F,2,FALSE))*$P123),"",AG123)))</f>
        <v>#N/A</v>
      </c>
      <c r="W123" s="237" t="e">
        <f>IF(AM123 = "", "", IF(OR($H123 = PARÂMETROS!$E$5, $H123 = ""), AM123, IF(OR(AM123 &lt; (1-VLOOKUP($H123,PARÂMETROS!$E:$F,2,FALSE))*$P123, AM123 &gt; (1+VLOOKUP($H123,PARÂMETROS!$E:$F,2,FALSE))*$P123),"",AM123)))</f>
        <v>#N/A</v>
      </c>
      <c r="X123" s="237" t="str">
        <f>IF(AS123 = "", "", IF(OR($H123 = PARÂMETROS!$E$5, $H123 = ""), AS123, IF(OR(AS123 &lt; (1-VLOOKUP($H123,PARÂMETROS!$E:$F,2,FALSE))*$P123, AS123 &gt; (1+VLOOKUP($H123,PARÂMETROS!$E:$F,2,FALSE))*$P123),"",AS123)))</f>
        <v/>
      </c>
      <c r="Y123" s="237" t="str">
        <f>IF(AY123 = "", "", IF(OR($H123 = PARÂMETROS!$E$5, $H123 = ""), AY123, IF(OR(AY123 &lt; (1-VLOOKUP($H123,PARÂMETROS!$E:$F,2,FALSE))*$P123, AY123 &gt; (1+VLOOKUP($H123,PARÂMETROS!$E:$F,2,FALSE))*$P123),"",AY123)))</f>
        <v/>
      </c>
      <c r="Z123" s="237" t="str">
        <f>IF(BE123 = "", "", IF(OR($H123 = PARÂMETROS!$E$5, $H123 = ""), BE123, IF(OR(BE123 &lt; (1-VLOOKUP($H123,PARÂMETROS!$E:$F,2,FALSE))*$P123, BE123 &gt; (1+VLOOKUP($H123,PARÂMETROS!$E:$F,2,FALSE))*$P123),"",BE123)))</f>
        <v/>
      </c>
      <c r="AA123" s="207">
        <v>497.79</v>
      </c>
      <c r="AB123" s="208">
        <v>1053</v>
      </c>
      <c r="AC123" s="206" t="e">
        <f>IF(AND(OR(AA123="",AA123=0),OR(AA123="",AB123=0)),"",IF(OR(AA123="",AA123=0),"DEFINIR PREÇO",IF(OR(AB123="",AB123=0),"DEFINIR FORNECEDOR",IF(OR(AA123&lt;&gt;"",AA123&lt;&gt;0),VLOOKUP(AB123,#REF!,2,FALSE)))))</f>
        <v>#REF!</v>
      </c>
      <c r="AD123" s="217" t="s">
        <v>1977</v>
      </c>
      <c r="AE123" s="218">
        <v>44932</v>
      </c>
      <c r="AF123" s="220" t="str">
        <f t="shared" ca="1" si="49"/>
        <v>DESATUALIZADA</v>
      </c>
      <c r="AG123" s="229">
        <v>535</v>
      </c>
      <c r="AH123" s="231">
        <v>1056</v>
      </c>
      <c r="AI123" s="206" t="e">
        <f>IF(AND(OR(AG123="",AG123=0),OR(AG123="",AH123=0)),"",IF(OR(AG123="",AG123=0),"DEFINIR PREÇO",IF(OR(AH123="",AH123=0),"DEFINIR FORNECEDOR",IF(OR(AG123&lt;&gt;"",AG123&lt;&gt;0),VLOOKUP(AH123,#REF!,2,FALSE)))))</f>
        <v>#REF!</v>
      </c>
      <c r="AJ123" s="217" t="s">
        <v>1977</v>
      </c>
      <c r="AK123" s="218">
        <v>44932</v>
      </c>
      <c r="AL123" s="220" t="str">
        <f t="shared" ca="1" si="50"/>
        <v>DESATUALIZADA</v>
      </c>
      <c r="AM123" s="229">
        <v>523</v>
      </c>
      <c r="AN123" s="231">
        <v>1055</v>
      </c>
      <c r="AO123" s="206" t="e">
        <f>IF(AND(OR(AM123="",AM123=0),OR(AM123="",AN123=0)),"",IF(OR(AM123="",AM123=0),"DEFINIR PREÇO",IF(OR(AN123="",AN123=0),"DEFINIR FORNECEDOR",IF(OR(AM123&lt;&gt;"",AM123&lt;&gt;0),VLOOKUP(AN123,#REF!,2,FALSE)))))</f>
        <v>#REF!</v>
      </c>
      <c r="AP123" s="217" t="s">
        <v>1977</v>
      </c>
      <c r="AQ123" s="218">
        <v>44932</v>
      </c>
      <c r="AR123" s="220" t="str">
        <f t="shared" ca="1" si="51"/>
        <v>DESATUALIZADA</v>
      </c>
      <c r="AS123" s="229"/>
      <c r="AT123" s="231"/>
      <c r="AU123" s="194"/>
      <c r="AV123" s="217"/>
      <c r="AW123" s="218"/>
      <c r="AX123" s="220" t="str">
        <f t="shared" ca="1" si="52"/>
        <v/>
      </c>
      <c r="AY123" s="229"/>
      <c r="AZ123" s="234"/>
      <c r="BA123" s="209" t="str">
        <f>IF(AND(OR(AY123="",AY123=0),OR(AY123="",AZ123=0)),"",IF(OR(AY123="",AY123=0),"DEFINIR PREÇO",IF(OR(AZ123="",AZ123=0),"DEFINIR FORNECEDOR",IF(OR(AY123&lt;&gt;"",AY123&lt;&gt;0),VLOOKUP(AZ123,#REF!,2,FALSE)))))</f>
        <v/>
      </c>
      <c r="BB123" s="217"/>
      <c r="BC123" s="218"/>
      <c r="BD123" s="220" t="str">
        <f t="shared" ca="1" si="53"/>
        <v/>
      </c>
      <c r="BE123" s="195"/>
      <c r="BF123" s="196"/>
      <c r="BG123" s="194"/>
      <c r="BH123" s="194"/>
      <c r="BI123" s="194"/>
      <c r="BJ123" s="197"/>
    </row>
    <row r="124" spans="1:62" x14ac:dyDescent="0.25">
      <c r="A124" s="44" t="s">
        <v>405</v>
      </c>
      <c r="B124" s="58" t="s">
        <v>453</v>
      </c>
      <c r="C124" s="45"/>
      <c r="D124" s="139" t="s">
        <v>454</v>
      </c>
      <c r="E124" s="149" t="s">
        <v>23</v>
      </c>
      <c r="F124" s="46" t="str">
        <f t="shared" si="73"/>
        <v>SEM PREÇO</v>
      </c>
      <c r="G124" s="47" t="str">
        <f t="shared" si="72"/>
        <v>SEM PREÇO</v>
      </c>
      <c r="H124" s="240" t="s">
        <v>2000</v>
      </c>
      <c r="I124" s="240" t="s">
        <v>2001</v>
      </c>
      <c r="J124" s="242" t="str">
        <f>IFERROR(IF(N124&lt;&gt;"",M124,IF(I124 = PARÂMETROS!$B$5,Q124, IF(I124 = PARÂMETROS!$B$6,R124,IF(I124 = PARÂMETROS!$B$7,S124,IF(I124 = PARÂMETROS!$B$8, T124,"DEFINIR CRITÉRIO"))))),"SEM PREÇO")</f>
        <v>SEM PREÇO</v>
      </c>
      <c r="K124" s="241">
        <f t="shared" si="42"/>
        <v>0</v>
      </c>
      <c r="L124" s="238" t="str">
        <f t="shared" si="43"/>
        <v/>
      </c>
      <c r="M124" s="180" t="e">
        <f>VLOOKUP(N124,#REF!,4,FALSE)</f>
        <v>#REF!</v>
      </c>
      <c r="N124" s="52">
        <v>36148</v>
      </c>
      <c r="O124" s="53" t="s">
        <v>404</v>
      </c>
      <c r="P124" s="235">
        <f t="shared" si="44"/>
        <v>0</v>
      </c>
      <c r="Q124" s="236">
        <f t="shared" si="45"/>
        <v>0</v>
      </c>
      <c r="R124" s="236">
        <f t="shared" si="46"/>
        <v>0</v>
      </c>
      <c r="S124" s="236">
        <f t="shared" si="47"/>
        <v>0</v>
      </c>
      <c r="T124" s="236">
        <f t="shared" si="48"/>
        <v>0</v>
      </c>
      <c r="U124" s="237" t="str">
        <f>IF(AA124 = "", "", IF(OR($H124 = PARÂMETROS!$E$5, $H124 = ""), AA124, IF(OR(AA124 &lt; (1-VLOOKUP($H124,PARÂMETROS!$E:$F,2,FALSE))*$P124, AA124 &gt; (1+VLOOKUP($H124,PARÂMETROS!$E:$F,2,FALSE))*$P124),"",AA124)))</f>
        <v/>
      </c>
      <c r="V124" s="237" t="str">
        <f>IF(AG124 = "", "", IF(OR($H124 = PARÂMETROS!$E$5, $H124 = ""), AG124, IF(OR(AG124 &lt; (1-VLOOKUP($H124,PARÂMETROS!$E:$F,2,FALSE))*$P129, AG124 &gt; (1+VLOOKUP($H124,PARÂMETROS!$E:$F,2,FALSE))*$P124),"",AG124)))</f>
        <v/>
      </c>
      <c r="W124" s="237" t="str">
        <f>IF(AM124 = "", "", IF(OR($H124 = PARÂMETROS!$E$5, $H124 = ""), AM124, IF(OR(AM124 &lt; (1-VLOOKUP($H124,PARÂMETROS!$E:$F,2,FALSE))*$P124, AM124 &gt; (1+VLOOKUP($H124,PARÂMETROS!$E:$F,2,FALSE))*$P124),"",AM124)))</f>
        <v/>
      </c>
      <c r="X124" s="237" t="str">
        <f>IF(AS124 = "", "", IF(OR($H124 = PARÂMETROS!$E$5, $H124 = ""), AS124, IF(OR(AS124 &lt; (1-VLOOKUP($H124,PARÂMETROS!$E:$F,2,FALSE))*$P124, AS124 &gt; (1+VLOOKUP($H124,PARÂMETROS!$E:$F,2,FALSE))*$P124),"",AS124)))</f>
        <v/>
      </c>
      <c r="Y124" s="237" t="str">
        <f>IF(AY124 = "", "", IF(OR($H124 = PARÂMETROS!$E$5, $H124 = ""), AY124, IF(OR(AY124 &lt; (1-VLOOKUP($H124,PARÂMETROS!$E:$F,2,FALSE))*$P124, AY124 &gt; (1+VLOOKUP($H124,PARÂMETROS!$E:$F,2,FALSE))*$P124),"",AY124)))</f>
        <v/>
      </c>
      <c r="Z124" s="237" t="str">
        <f>IF(BE124 = "", "", IF(OR($H124 = PARÂMETROS!$E$5, $H124 = ""), BE124, IF(OR(BE124 &lt; (1-VLOOKUP($H124,PARÂMETROS!$E:$F,2,FALSE))*$P124, BE124 &gt; (1+VLOOKUP($H124,PARÂMETROS!$E:$F,2,FALSE))*$P124),"",BE124)))</f>
        <v/>
      </c>
      <c r="AA124" s="207"/>
      <c r="AB124" s="208"/>
      <c r="AC124" s="206" t="str">
        <f>IF(AND(OR(AA124="",AA124=0),OR(AA124="",AB124=0)),"",IF(OR(AA124="",AA124=0),"DEFINIR PREÇO",IF(OR(AB124="",AB124=0),"DEFINIR FORNECEDOR",IF(OR(AA124&lt;&gt;"",AA124&lt;&gt;0),VLOOKUP(AB124,#REF!,2,FALSE)))))</f>
        <v/>
      </c>
      <c r="AD124" s="217"/>
      <c r="AE124" s="218"/>
      <c r="AF124" s="220" t="str">
        <f t="shared" ca="1" si="49"/>
        <v/>
      </c>
      <c r="AG124" s="229"/>
      <c r="AH124" s="231"/>
      <c r="AI124" s="206" t="str">
        <f>IF(AND(OR(AG124="",AG124=0),OR(AG124="",AH124=0)),"",IF(OR(AG124="",AG124=0),"DEFINIR PREÇO",IF(OR(AH124="",AH124=0),"DEFINIR FORNECEDOR",IF(OR(AG124&lt;&gt;"",AG124&lt;&gt;0),VLOOKUP(AH124,#REF!,2,FALSE)))))</f>
        <v/>
      </c>
      <c r="AJ124" s="217"/>
      <c r="AK124" s="218"/>
      <c r="AL124" s="220" t="str">
        <f t="shared" ca="1" si="50"/>
        <v/>
      </c>
      <c r="AM124" s="229"/>
      <c r="AN124" s="231"/>
      <c r="AO124" s="206" t="str">
        <f>IF(AND(OR(AM124="",AM124=0),OR(AM124="",AN124=0)),"",IF(OR(AM124="",AM124=0),"DEFINIR PREÇO",IF(OR(AN124="",AN124=0),"DEFINIR FORNECEDOR",IF(OR(AM124&lt;&gt;"",AM124&lt;&gt;0),VLOOKUP(AN124,#REF!,2,FALSE)))))</f>
        <v/>
      </c>
      <c r="AP124" s="217"/>
      <c r="AQ124" s="218"/>
      <c r="AR124" s="220" t="str">
        <f t="shared" ca="1" si="51"/>
        <v/>
      </c>
      <c r="AS124" s="229"/>
      <c r="AT124" s="231"/>
      <c r="AU124" s="194"/>
      <c r="AV124" s="217"/>
      <c r="AW124" s="218"/>
      <c r="AX124" s="220" t="str">
        <f t="shared" ca="1" si="52"/>
        <v/>
      </c>
      <c r="AY124" s="229"/>
      <c r="AZ124" s="234"/>
      <c r="BA124" s="209" t="str">
        <f>IF(AND(OR(AY124="",AY124=0),OR(AY124="",AZ124=0)),"",IF(OR(AY124="",AY124=0),"DEFINIR PREÇO",IF(OR(AZ124="",AZ124=0),"DEFINIR FORNECEDOR",IF(OR(AY124&lt;&gt;"",AY124&lt;&gt;0),VLOOKUP(AZ124,#REF!,2,FALSE)))))</f>
        <v/>
      </c>
      <c r="BB124" s="217"/>
      <c r="BC124" s="218"/>
      <c r="BD124" s="220" t="str">
        <f t="shared" ca="1" si="53"/>
        <v/>
      </c>
      <c r="BE124" s="195"/>
      <c r="BF124" s="196"/>
      <c r="BG124" s="194"/>
      <c r="BH124" s="194"/>
      <c r="BI124" s="194"/>
      <c r="BJ124" s="197"/>
    </row>
    <row r="125" spans="1:62" ht="30" x14ac:dyDescent="0.25">
      <c r="A125" s="44" t="s">
        <v>405</v>
      </c>
      <c r="B125" s="58" t="s">
        <v>455</v>
      </c>
      <c r="C125" s="45"/>
      <c r="D125" s="139" t="s">
        <v>456</v>
      </c>
      <c r="E125" s="149" t="s">
        <v>23</v>
      </c>
      <c r="F125" s="46" t="str">
        <f t="shared" si="73"/>
        <v>DEFINIR CRITÉRIO</v>
      </c>
      <c r="G125" s="47" t="str">
        <f t="shared" si="72"/>
        <v>DEFINIR CRITÉRIO</v>
      </c>
      <c r="H125" s="240" t="s">
        <v>2000</v>
      </c>
      <c r="I125" s="240" t="s">
        <v>2001</v>
      </c>
      <c r="J125" s="242" t="str">
        <f>IFERROR(IF(N125&lt;&gt;"",M125,IF(I125 = PARÂMETROS!$B$5,Q125, IF(I125 = PARÂMETROS!$B$6,R125,IF(I125 = PARÂMETROS!$B$7,S125,IF(I125 = PARÂMETROS!$B$8, T125,"DEFINIR CRITÉRIO"))))),"SEM PREÇO")</f>
        <v>DEFINIR CRITÉRIO</v>
      </c>
      <c r="K125" s="241" t="str">
        <f t="shared" si="42"/>
        <v/>
      </c>
      <c r="L125" s="238" t="str">
        <f t="shared" si="43"/>
        <v/>
      </c>
      <c r="M125" s="51"/>
      <c r="N125" s="52"/>
      <c r="O125" s="53"/>
      <c r="P125" s="235">
        <f t="shared" si="44"/>
        <v>19.84</v>
      </c>
      <c r="Q125" s="236">
        <f t="shared" si="45"/>
        <v>0</v>
      </c>
      <c r="R125" s="236">
        <f t="shared" si="46"/>
        <v>0</v>
      </c>
      <c r="S125" s="236">
        <f t="shared" si="47"/>
        <v>0</v>
      </c>
      <c r="T125" s="236">
        <f t="shared" si="48"/>
        <v>0</v>
      </c>
      <c r="U125" s="237" t="e">
        <f>IF(AA125 = "", "", IF(OR($H125 = PARÂMETROS!$E$5, $H125 = ""), AA125, IF(OR(AA125 &lt; (1-VLOOKUP($H125,PARÂMETROS!$E:$F,2,FALSE))*$P125, AA125 &gt; (1+VLOOKUP($H125,PARÂMETROS!$E:$F,2,FALSE))*$P125),"",AA125)))</f>
        <v>#N/A</v>
      </c>
      <c r="V125" s="237" t="e">
        <f>IF(AG125 = "", "", IF(OR($H125 = PARÂMETROS!$E$5, $H125 = ""), AG125, IF(OR(AG125 &lt; (1-VLOOKUP($H125,PARÂMETROS!$E:$F,2,FALSE))*$P130, AG125 &gt; (1+VLOOKUP($H125,PARÂMETROS!$E:$F,2,FALSE))*$P125),"",AG125)))</f>
        <v>#N/A</v>
      </c>
      <c r="W125" s="237" t="e">
        <f>IF(AM125 = "", "", IF(OR($H125 = PARÂMETROS!$E$5, $H125 = ""), AM125, IF(OR(AM125 &lt; (1-VLOOKUP($H125,PARÂMETROS!$E:$F,2,FALSE))*$P125, AM125 &gt; (1+VLOOKUP($H125,PARÂMETROS!$E:$F,2,FALSE))*$P125),"",AM125)))</f>
        <v>#N/A</v>
      </c>
      <c r="X125" s="237" t="str">
        <f>IF(AS125 = "", "", IF(OR($H125 = PARÂMETROS!$E$5, $H125 = ""), AS125, IF(OR(AS125 &lt; (1-VLOOKUP($H125,PARÂMETROS!$E:$F,2,FALSE))*$P125, AS125 &gt; (1+VLOOKUP($H125,PARÂMETROS!$E:$F,2,FALSE))*$P125),"",AS125)))</f>
        <v/>
      </c>
      <c r="Y125" s="237" t="str">
        <f>IF(AY125 = "", "", IF(OR($H125 = PARÂMETROS!$E$5, $H125 = ""), AY125, IF(OR(AY125 &lt; (1-VLOOKUP($H125,PARÂMETROS!$E:$F,2,FALSE))*$P125, AY125 &gt; (1+VLOOKUP($H125,PARÂMETROS!$E:$F,2,FALSE))*$P125),"",AY125)))</f>
        <v/>
      </c>
      <c r="Z125" s="237" t="str">
        <f>IF(BE125 = "", "", IF(OR($H125 = PARÂMETROS!$E$5, $H125 = ""), BE125, IF(OR(BE125 &lt; (1-VLOOKUP($H125,PARÂMETROS!$E:$F,2,FALSE))*$P125, BE125 &gt; (1+VLOOKUP($H125,PARÂMETROS!$E:$F,2,FALSE))*$P125),"",BE125)))</f>
        <v/>
      </c>
      <c r="AA125" s="207">
        <v>16.54</v>
      </c>
      <c r="AB125" s="208">
        <v>1549</v>
      </c>
      <c r="AC125" s="206" t="e">
        <f>IF(AND(OR(AA125="",AA125=0),OR(AA125="",AB125=0)),"",IF(OR(AA125="",AA125=0),"DEFINIR PREÇO",IF(OR(AB125="",AB125=0),"DEFINIR FORNECEDOR",IF(OR(AA125&lt;&gt;"",AA125&lt;&gt;0),VLOOKUP(AB125,#REF!,2,FALSE)))))</f>
        <v>#REF!</v>
      </c>
      <c r="AD125" s="217" t="s">
        <v>1977</v>
      </c>
      <c r="AE125" s="218">
        <v>44925</v>
      </c>
      <c r="AF125" s="220" t="str">
        <f t="shared" ca="1" si="49"/>
        <v>DESATUALIZADA</v>
      </c>
      <c r="AG125" s="229">
        <v>23.84</v>
      </c>
      <c r="AH125" s="231">
        <v>1550</v>
      </c>
      <c r="AI125" s="206" t="e">
        <f>IF(AND(OR(AG125="",AG125=0),OR(AG125="",AH125=0)),"",IF(OR(AG125="",AG125=0),"DEFINIR PREÇO",IF(OR(AH125="",AH125=0),"DEFINIR FORNECEDOR",IF(OR(AG125&lt;&gt;"",AG125&lt;&gt;0),VLOOKUP(AH125,#REF!,2,FALSE)))))</f>
        <v>#REF!</v>
      </c>
      <c r="AJ125" s="217" t="s">
        <v>1977</v>
      </c>
      <c r="AK125" s="218">
        <v>44925</v>
      </c>
      <c r="AL125" s="220" t="str">
        <f t="shared" ca="1" si="50"/>
        <v>DESATUALIZADA</v>
      </c>
      <c r="AM125" s="229">
        <v>19.14</v>
      </c>
      <c r="AN125" s="231">
        <v>1059</v>
      </c>
      <c r="AO125" s="206" t="e">
        <f>IF(AND(OR(AM125="",AM125=0),OR(AM125="",AN125=0)),"",IF(OR(AM125="",AM125=0),"DEFINIR PREÇO",IF(OR(AN125="",AN125=0),"DEFINIR FORNECEDOR",IF(OR(AM125&lt;&gt;"",AM125&lt;&gt;0),VLOOKUP(AN125,#REF!,2,FALSE)))))</f>
        <v>#REF!</v>
      </c>
      <c r="AP125" s="217" t="s">
        <v>1977</v>
      </c>
      <c r="AQ125" s="218">
        <v>44925</v>
      </c>
      <c r="AR125" s="220" t="str">
        <f t="shared" ca="1" si="51"/>
        <v>DESATUALIZADA</v>
      </c>
      <c r="AS125" s="229"/>
      <c r="AT125" s="231"/>
      <c r="AU125" s="194"/>
      <c r="AV125" s="217"/>
      <c r="AW125" s="218"/>
      <c r="AX125" s="220" t="str">
        <f t="shared" ca="1" si="52"/>
        <v/>
      </c>
      <c r="AY125" s="229"/>
      <c r="AZ125" s="234"/>
      <c r="BA125" s="209" t="str">
        <f>IF(AND(OR(AY125="",AY125=0),OR(AY125="",AZ125=0)),"",IF(OR(AY125="",AY125=0),"DEFINIR PREÇO",IF(OR(AZ125="",AZ125=0),"DEFINIR FORNECEDOR",IF(OR(AY125&lt;&gt;"",AY125&lt;&gt;0),VLOOKUP(AZ125,#REF!,2,FALSE)))))</f>
        <v/>
      </c>
      <c r="BB125" s="217"/>
      <c r="BC125" s="218"/>
      <c r="BD125" s="220" t="str">
        <f t="shared" ca="1" si="53"/>
        <v/>
      </c>
      <c r="BE125" s="195"/>
      <c r="BF125" s="196"/>
      <c r="BG125" s="194"/>
      <c r="BH125" s="194"/>
      <c r="BI125" s="194"/>
      <c r="BJ125" s="197"/>
    </row>
    <row r="126" spans="1:62" ht="30" x14ac:dyDescent="0.25">
      <c r="A126" s="44" t="s">
        <v>405</v>
      </c>
      <c r="B126" s="58" t="s">
        <v>430</v>
      </c>
      <c r="C126" s="45"/>
      <c r="D126" s="139" t="s">
        <v>431</v>
      </c>
      <c r="E126" s="149" t="s">
        <v>23</v>
      </c>
      <c r="F126" s="46" t="str">
        <f t="shared" si="73"/>
        <v>DEFINIR CRITÉRIO</v>
      </c>
      <c r="G126" s="47" t="str">
        <f t="shared" si="72"/>
        <v>DEFINIR CRITÉRIO</v>
      </c>
      <c r="H126" s="240" t="s">
        <v>2000</v>
      </c>
      <c r="I126" s="240" t="s">
        <v>2001</v>
      </c>
      <c r="J126" s="242" t="str">
        <f>IFERROR(IF(N126&lt;&gt;"",M126,IF(I126 = PARÂMETROS!$B$5,Q126, IF(I126 = PARÂMETROS!$B$6,R126,IF(I126 = PARÂMETROS!$B$7,S126,IF(I126 = PARÂMETROS!$B$8, T126,"DEFINIR CRITÉRIO"))))),"SEM PREÇO")</f>
        <v>DEFINIR CRITÉRIO</v>
      </c>
      <c r="K126" s="241" t="str">
        <f t="shared" si="42"/>
        <v/>
      </c>
      <c r="L126" s="238" t="str">
        <f t="shared" si="43"/>
        <v/>
      </c>
      <c r="M126" s="51"/>
      <c r="N126" s="52"/>
      <c r="O126" s="53"/>
      <c r="P126" s="235">
        <f t="shared" si="44"/>
        <v>105.13999999999999</v>
      </c>
      <c r="Q126" s="236">
        <f t="shared" si="45"/>
        <v>0</v>
      </c>
      <c r="R126" s="236">
        <f t="shared" si="46"/>
        <v>0</v>
      </c>
      <c r="S126" s="236">
        <f t="shared" si="47"/>
        <v>0</v>
      </c>
      <c r="T126" s="236">
        <f t="shared" si="48"/>
        <v>0</v>
      </c>
      <c r="U126" s="237" t="e">
        <f>IF(AA126 = "", "", IF(OR($H126 = PARÂMETROS!$E$5, $H126 = ""), AA126, IF(OR(AA126 &lt; (1-VLOOKUP($H126,PARÂMETROS!$E:$F,2,FALSE))*$P126, AA126 &gt; (1+VLOOKUP($H126,PARÂMETROS!$E:$F,2,FALSE))*$P126),"",AA126)))</f>
        <v>#N/A</v>
      </c>
      <c r="V126" s="237" t="e">
        <f>IF(AG126 = "", "", IF(OR($H126 = PARÂMETROS!$E$5, $H126 = ""), AG126, IF(OR(AG126 &lt; (1-VLOOKUP($H126,PARÂMETROS!$E:$F,2,FALSE))*$P131, AG126 &gt; (1+VLOOKUP($H126,PARÂMETROS!$E:$F,2,FALSE))*$P126),"",AG126)))</f>
        <v>#N/A</v>
      </c>
      <c r="W126" s="237" t="e">
        <f>IF(AM126 = "", "", IF(OR($H126 = PARÂMETROS!$E$5, $H126 = ""), AM126, IF(OR(AM126 &lt; (1-VLOOKUP($H126,PARÂMETROS!$E:$F,2,FALSE))*$P126, AM126 &gt; (1+VLOOKUP($H126,PARÂMETROS!$E:$F,2,FALSE))*$P126),"",AM126)))</f>
        <v>#N/A</v>
      </c>
      <c r="X126" s="237" t="str">
        <f>IF(AS126 = "", "", IF(OR($H126 = PARÂMETROS!$E$5, $H126 = ""), AS126, IF(OR(AS126 &lt; (1-VLOOKUP($H126,PARÂMETROS!$E:$F,2,FALSE))*$P126, AS126 &gt; (1+VLOOKUP($H126,PARÂMETROS!$E:$F,2,FALSE))*$P126),"",AS126)))</f>
        <v/>
      </c>
      <c r="Y126" s="237" t="str">
        <f>IF(AY126 = "", "", IF(OR($H126 = PARÂMETROS!$E$5, $H126 = ""), AY126, IF(OR(AY126 &lt; (1-VLOOKUP($H126,PARÂMETROS!$E:$F,2,FALSE))*$P126, AY126 &gt; (1+VLOOKUP($H126,PARÂMETROS!$E:$F,2,FALSE))*$P126),"",AY126)))</f>
        <v/>
      </c>
      <c r="Z126" s="237" t="str">
        <f>IF(BE126 = "", "", IF(OR($H126 = PARÂMETROS!$E$5, $H126 = ""), BE126, IF(OR(BE126 &lt; (1-VLOOKUP($H126,PARÂMETROS!$E:$F,2,FALSE))*$P126, BE126 &gt; (1+VLOOKUP($H126,PARÂMETROS!$E:$F,2,FALSE))*$P126),"",BE126)))</f>
        <v/>
      </c>
      <c r="AA126" s="207">
        <v>110.89</v>
      </c>
      <c r="AB126" s="208">
        <v>1549</v>
      </c>
      <c r="AC126" s="206" t="e">
        <f>IF(AND(OR(AA126="",AA126=0),OR(AA126="",AB126=0)),"",IF(OR(AA126="",AA126=0),"DEFINIR PREÇO",IF(OR(AB126="",AB126=0),"DEFINIR FORNECEDOR",IF(OR(AA126&lt;&gt;"",AA126&lt;&gt;0),VLOOKUP(AB126,#REF!,2,FALSE)))))</f>
        <v>#REF!</v>
      </c>
      <c r="AD126" s="217" t="s">
        <v>1977</v>
      </c>
      <c r="AE126" s="218">
        <v>44925</v>
      </c>
      <c r="AF126" s="220" t="str">
        <f t="shared" ca="1" si="49"/>
        <v>DESATUALIZADA</v>
      </c>
      <c r="AG126" s="229">
        <v>162.63</v>
      </c>
      <c r="AH126" s="231">
        <v>1866</v>
      </c>
      <c r="AI126" s="206" t="e">
        <f>IF(AND(OR(AG126="",AG126=0),OR(AG126="",AH126=0)),"",IF(OR(AG126="",AG126=0),"DEFINIR PREÇO",IF(OR(AH126="",AH126=0),"DEFINIR FORNECEDOR",IF(OR(AG126&lt;&gt;"",AG126&lt;&gt;0),VLOOKUP(AH126,#REF!,2,FALSE)))))</f>
        <v>#REF!</v>
      </c>
      <c r="AJ126" s="217" t="s">
        <v>1977</v>
      </c>
      <c r="AK126" s="218">
        <v>44925</v>
      </c>
      <c r="AL126" s="220" t="str">
        <f t="shared" ca="1" si="50"/>
        <v>DESATUALIZADA</v>
      </c>
      <c r="AM126" s="229">
        <v>41.9</v>
      </c>
      <c r="AN126" s="231">
        <v>2179</v>
      </c>
      <c r="AO126" s="206" t="e">
        <f>IF(AND(OR(AM126="",AM126=0),OR(AM126="",AN126=0)),"",IF(OR(AM126="",AM126=0),"DEFINIR PREÇO",IF(OR(AN126="",AN126=0),"DEFINIR FORNECEDOR",IF(OR(AM126&lt;&gt;"",AM126&lt;&gt;0),VLOOKUP(AN126,#REF!,2,FALSE)))))</f>
        <v>#REF!</v>
      </c>
      <c r="AP126" s="217" t="s">
        <v>1977</v>
      </c>
      <c r="AQ126" s="218">
        <v>44925</v>
      </c>
      <c r="AR126" s="220" t="str">
        <f t="shared" ca="1" si="51"/>
        <v>DESATUALIZADA</v>
      </c>
      <c r="AS126" s="229"/>
      <c r="AT126" s="231"/>
      <c r="AU126" s="194"/>
      <c r="AV126" s="217"/>
      <c r="AW126" s="218"/>
      <c r="AX126" s="220" t="str">
        <f t="shared" ca="1" si="52"/>
        <v/>
      </c>
      <c r="AY126" s="229"/>
      <c r="AZ126" s="234"/>
      <c r="BA126" s="209" t="str">
        <f>IF(AND(OR(AY126="",AY126=0),OR(AY126="",AZ126=0)),"",IF(OR(AY126="",AY126=0),"DEFINIR PREÇO",IF(OR(AZ126="",AZ126=0),"DEFINIR FORNECEDOR",IF(OR(AY126&lt;&gt;"",AY126&lt;&gt;0),VLOOKUP(AZ126,#REF!,2,FALSE)))))</f>
        <v/>
      </c>
      <c r="BB126" s="217"/>
      <c r="BC126" s="218"/>
      <c r="BD126" s="220" t="str">
        <f t="shared" ca="1" si="53"/>
        <v/>
      </c>
      <c r="BE126" s="195"/>
      <c r="BF126" s="196"/>
      <c r="BG126" s="194"/>
      <c r="BH126" s="194"/>
      <c r="BI126" s="194"/>
      <c r="BJ126" s="197"/>
    </row>
    <row r="127" spans="1:62" ht="38.25" x14ac:dyDescent="0.25">
      <c r="A127" s="44" t="s">
        <v>405</v>
      </c>
      <c r="B127" s="58" t="s">
        <v>320</v>
      </c>
      <c r="C127" s="45">
        <v>5</v>
      </c>
      <c r="D127" s="55" t="s">
        <v>274</v>
      </c>
      <c r="E127" s="45" t="s">
        <v>23</v>
      </c>
      <c r="F127" s="46">
        <v>34626.04</v>
      </c>
      <c r="G127" s="47">
        <v>34626.04</v>
      </c>
      <c r="H127" s="240" t="s">
        <v>2000</v>
      </c>
      <c r="I127" s="240" t="s">
        <v>2001</v>
      </c>
      <c r="J127" s="242">
        <f>IFERROR(IF(N127&lt;&gt;"",M127,IF(I127 = PARÂMETROS!$B$5,Q127, IF(I127 = PARÂMETROS!$B$6,R127,IF(I127 = PARÂMETROS!$B$7,S127,IF(I127 = PARÂMETROS!$B$8, T127,"DEFINIR CRITÉRIO"))))),"SEM PREÇO")</f>
        <v>34626.04</v>
      </c>
      <c r="K127" s="241">
        <f t="shared" si="42"/>
        <v>0</v>
      </c>
      <c r="L127" s="238" t="str">
        <f t="shared" si="43"/>
        <v/>
      </c>
      <c r="M127" s="46">
        <v>34626.04</v>
      </c>
      <c r="N127" s="52" t="s">
        <v>1047</v>
      </c>
      <c r="O127" s="53"/>
      <c r="P127" s="235">
        <f t="shared" si="44"/>
        <v>0</v>
      </c>
      <c r="Q127" s="236">
        <f t="shared" si="45"/>
        <v>0</v>
      </c>
      <c r="R127" s="236">
        <f t="shared" si="46"/>
        <v>0</v>
      </c>
      <c r="S127" s="236">
        <f t="shared" si="47"/>
        <v>0</v>
      </c>
      <c r="T127" s="236">
        <f t="shared" si="48"/>
        <v>0</v>
      </c>
      <c r="U127" s="237" t="str">
        <f>IF(AA127 = "", "", IF(OR($H127 = PARÂMETROS!$E$5, $H127 = ""), AA127, IF(OR(AA127 &lt; (1-VLOOKUP($H127,PARÂMETROS!$E:$F,2,FALSE))*$P127, AA127 &gt; (1+VLOOKUP($H127,PARÂMETROS!$E:$F,2,FALSE))*$P127),"",AA127)))</f>
        <v/>
      </c>
      <c r="V127" s="237" t="str">
        <f>IF(AG127 = "", "", IF(OR($H127 = PARÂMETROS!$E$5, $H127 = ""), AG127, IF(OR(AG127 &lt; (1-VLOOKUP($H127,PARÂMETROS!$E:$F,2,FALSE))*$P132, AG127 &gt; (1+VLOOKUP($H127,PARÂMETROS!$E:$F,2,FALSE))*$P127),"",AG127)))</f>
        <v/>
      </c>
      <c r="W127" s="237" t="str">
        <f>IF(AM127 = "", "", IF(OR($H127 = PARÂMETROS!$E$5, $H127 = ""), AM127, IF(OR(AM127 &lt; (1-VLOOKUP($H127,PARÂMETROS!$E:$F,2,FALSE))*$P127, AM127 &gt; (1+VLOOKUP($H127,PARÂMETROS!$E:$F,2,FALSE))*$P127),"",AM127)))</f>
        <v/>
      </c>
      <c r="X127" s="237" t="str">
        <f>IF(AS127 = "", "", IF(OR($H127 = PARÂMETROS!$E$5, $H127 = ""), AS127, IF(OR(AS127 &lt; (1-VLOOKUP($H127,PARÂMETROS!$E:$F,2,FALSE))*$P127, AS127 &gt; (1+VLOOKUP($H127,PARÂMETROS!$E:$F,2,FALSE))*$P127),"",AS127)))</f>
        <v/>
      </c>
      <c r="Y127" s="237" t="str">
        <f>IF(AY127 = "", "", IF(OR($H127 = PARÂMETROS!$E$5, $H127 = ""), AY127, IF(OR(AY127 &lt; (1-VLOOKUP($H127,PARÂMETROS!$E:$F,2,FALSE))*$P127, AY127 &gt; (1+VLOOKUP($H127,PARÂMETROS!$E:$F,2,FALSE))*$P127),"",AY127)))</f>
        <v/>
      </c>
      <c r="Z127" s="237" t="str">
        <f>IF(BE127 = "", "", IF(OR($H127 = PARÂMETROS!$E$5, $H127 = ""), BE127, IF(OR(BE127 &lt; (1-VLOOKUP($H127,PARÂMETROS!$E:$F,2,FALSE))*$P127, BE127 &gt; (1+VLOOKUP($H127,PARÂMETROS!$E:$F,2,FALSE))*$P127),"",BE127)))</f>
        <v/>
      </c>
      <c r="AA127" s="207"/>
      <c r="AB127" s="208"/>
      <c r="AC127" s="206" t="str">
        <f>IF(AND(OR(AA127="",AA127=0),OR(AA127="",AB127=0)),"",IF(OR(AA127="",AA127=0),"DEFINIR PREÇO",IF(OR(AB127="",AB127=0),"DEFINIR FORNECEDOR",IF(OR(AA127&lt;&gt;"",AA127&lt;&gt;0),VLOOKUP(AB127,#REF!,2,FALSE)))))</f>
        <v/>
      </c>
      <c r="AD127" s="217"/>
      <c r="AE127" s="218"/>
      <c r="AF127" s="220" t="str">
        <f t="shared" ca="1" si="49"/>
        <v/>
      </c>
      <c r="AG127" s="229"/>
      <c r="AH127" s="231"/>
      <c r="AI127" s="206" t="str">
        <f>IF(AND(OR(AG127="",AG127=0),OR(AG127="",AH127=0)),"",IF(OR(AG127="",AG127=0),"DEFINIR PREÇO",IF(OR(AH127="",AH127=0),"DEFINIR FORNECEDOR",IF(OR(AG127&lt;&gt;"",AG127&lt;&gt;0),VLOOKUP(AH127,#REF!,2,FALSE)))))</f>
        <v/>
      </c>
      <c r="AJ127" s="217"/>
      <c r="AK127" s="218"/>
      <c r="AL127" s="220" t="str">
        <f t="shared" ca="1" si="50"/>
        <v/>
      </c>
      <c r="AM127" s="229"/>
      <c r="AN127" s="231"/>
      <c r="AO127" s="206" t="str">
        <f>IF(AND(OR(AM127="",AM127=0),OR(AM127="",AN127=0)),"",IF(OR(AM127="",AM127=0),"DEFINIR PREÇO",IF(OR(AN127="",AN127=0),"DEFINIR FORNECEDOR",IF(OR(AM127&lt;&gt;"",AM127&lt;&gt;0),VLOOKUP(AN127,#REF!,2,FALSE)))))</f>
        <v/>
      </c>
      <c r="AP127" s="217"/>
      <c r="AQ127" s="218"/>
      <c r="AR127" s="220" t="str">
        <f t="shared" ca="1" si="51"/>
        <v/>
      </c>
      <c r="AS127" s="229"/>
      <c r="AT127" s="231"/>
      <c r="AU127" s="194"/>
      <c r="AV127" s="217"/>
      <c r="AW127" s="218"/>
      <c r="AX127" s="220" t="str">
        <f t="shared" ca="1" si="52"/>
        <v/>
      </c>
      <c r="AY127" s="229"/>
      <c r="AZ127" s="234"/>
      <c r="BA127" s="209" t="str">
        <f>IF(AND(OR(AY127="",AY127=0),OR(AY127="",AZ127=0)),"",IF(OR(AY127="",AY127=0),"DEFINIR PREÇO",IF(OR(AZ127="",AZ127=0),"DEFINIR FORNECEDOR",IF(OR(AY127&lt;&gt;"",AY127&lt;&gt;0),VLOOKUP(AZ127,#REF!,2,FALSE)))))</f>
        <v/>
      </c>
      <c r="BB127" s="217"/>
      <c r="BC127" s="218"/>
      <c r="BD127" s="220" t="str">
        <f t="shared" ca="1" si="53"/>
        <v/>
      </c>
      <c r="BE127" s="195"/>
      <c r="BF127" s="196"/>
      <c r="BG127" s="194"/>
      <c r="BH127" s="194"/>
      <c r="BI127" s="194"/>
      <c r="BJ127" s="197"/>
    </row>
    <row r="128" spans="1:62" ht="25.5" x14ac:dyDescent="0.25">
      <c r="A128" s="44" t="s">
        <v>405</v>
      </c>
      <c r="B128" s="58" t="s">
        <v>321</v>
      </c>
      <c r="C128" s="45">
        <v>5</v>
      </c>
      <c r="D128" s="55" t="s">
        <v>275</v>
      </c>
      <c r="E128" s="45" t="s">
        <v>20</v>
      </c>
      <c r="F128" s="46">
        <v>1344.99</v>
      </c>
      <c r="G128" s="47">
        <v>1344.99</v>
      </c>
      <c r="H128" s="240" t="s">
        <v>2000</v>
      </c>
      <c r="I128" s="240" t="s">
        <v>2001</v>
      </c>
      <c r="J128" s="242">
        <f>IFERROR(IF(N128&lt;&gt;"",M128,IF(I128 = PARÂMETROS!$B$5,Q128, IF(I128 = PARÂMETROS!$B$6,R128,IF(I128 = PARÂMETROS!$B$7,S128,IF(I128 = PARÂMETROS!$B$8, T128,"DEFINIR CRITÉRIO"))))),"SEM PREÇO")</f>
        <v>1344.99</v>
      </c>
      <c r="K128" s="241">
        <f t="shared" si="42"/>
        <v>0</v>
      </c>
      <c r="L128" s="238" t="str">
        <f t="shared" si="43"/>
        <v/>
      </c>
      <c r="M128" s="46">
        <v>1344.99</v>
      </c>
      <c r="N128" s="52" t="s">
        <v>1047</v>
      </c>
      <c r="O128" s="53"/>
      <c r="P128" s="235">
        <f t="shared" si="44"/>
        <v>0</v>
      </c>
      <c r="Q128" s="236">
        <f t="shared" si="45"/>
        <v>0</v>
      </c>
      <c r="R128" s="236">
        <f t="shared" si="46"/>
        <v>0</v>
      </c>
      <c r="S128" s="236">
        <f t="shared" si="47"/>
        <v>0</v>
      </c>
      <c r="T128" s="236">
        <f t="shared" si="48"/>
        <v>0</v>
      </c>
      <c r="U128" s="237" t="str">
        <f>IF(AA128 = "", "", IF(OR($H128 = PARÂMETROS!$E$5, $H128 = ""), AA128, IF(OR(AA128 &lt; (1-VLOOKUP($H128,PARÂMETROS!$E:$F,2,FALSE))*$P128, AA128 &gt; (1+VLOOKUP($H128,PARÂMETROS!$E:$F,2,FALSE))*$P128),"",AA128)))</f>
        <v/>
      </c>
      <c r="V128" s="237" t="str">
        <f>IF(AG128 = "", "", IF(OR($H128 = PARÂMETROS!$E$5, $H128 = ""), AG128, IF(OR(AG128 &lt; (1-VLOOKUP($H128,PARÂMETROS!$E:$F,2,FALSE))*$P133, AG128 &gt; (1+VLOOKUP($H128,PARÂMETROS!$E:$F,2,FALSE))*$P128),"",AG128)))</f>
        <v/>
      </c>
      <c r="W128" s="237" t="str">
        <f>IF(AM128 = "", "", IF(OR($H128 = PARÂMETROS!$E$5, $H128 = ""), AM128, IF(OR(AM128 &lt; (1-VLOOKUP($H128,PARÂMETROS!$E:$F,2,FALSE))*$P128, AM128 &gt; (1+VLOOKUP($H128,PARÂMETROS!$E:$F,2,FALSE))*$P128),"",AM128)))</f>
        <v/>
      </c>
      <c r="X128" s="237" t="str">
        <f>IF(AS128 = "", "", IF(OR($H128 = PARÂMETROS!$E$5, $H128 = ""), AS128, IF(OR(AS128 &lt; (1-VLOOKUP($H128,PARÂMETROS!$E:$F,2,FALSE))*$P128, AS128 &gt; (1+VLOOKUP($H128,PARÂMETROS!$E:$F,2,FALSE))*$P128),"",AS128)))</f>
        <v/>
      </c>
      <c r="Y128" s="237" t="str">
        <f>IF(AY128 = "", "", IF(OR($H128 = PARÂMETROS!$E$5, $H128 = ""), AY128, IF(OR(AY128 &lt; (1-VLOOKUP($H128,PARÂMETROS!$E:$F,2,FALSE))*$P128, AY128 &gt; (1+VLOOKUP($H128,PARÂMETROS!$E:$F,2,FALSE))*$P128),"",AY128)))</f>
        <v/>
      </c>
      <c r="Z128" s="237" t="str">
        <f>IF(BE128 = "", "", IF(OR($H128 = PARÂMETROS!$E$5, $H128 = ""), BE128, IF(OR(BE128 &lt; (1-VLOOKUP($H128,PARÂMETROS!$E:$F,2,FALSE))*$P128, BE128 &gt; (1+VLOOKUP($H128,PARÂMETROS!$E:$F,2,FALSE))*$P128),"",BE128)))</f>
        <v/>
      </c>
      <c r="AA128" s="207"/>
      <c r="AB128" s="208"/>
      <c r="AC128" s="206" t="str">
        <f>IF(AND(OR(AA128="",AA128=0),OR(AA128="",AB128=0)),"",IF(OR(AA128="",AA128=0),"DEFINIR PREÇO",IF(OR(AB128="",AB128=0),"DEFINIR FORNECEDOR",IF(OR(AA128&lt;&gt;"",AA128&lt;&gt;0),VLOOKUP(AB128,#REF!,2,FALSE)))))</f>
        <v/>
      </c>
      <c r="AD128" s="217"/>
      <c r="AE128" s="218"/>
      <c r="AF128" s="220" t="str">
        <f t="shared" ca="1" si="49"/>
        <v/>
      </c>
      <c r="AG128" s="229"/>
      <c r="AH128" s="231"/>
      <c r="AI128" s="206" t="str">
        <f>IF(AND(OR(AG128="",AG128=0),OR(AG128="",AH128=0)),"",IF(OR(AG128="",AG128=0),"DEFINIR PREÇO",IF(OR(AH128="",AH128=0),"DEFINIR FORNECEDOR",IF(OR(AG128&lt;&gt;"",AG128&lt;&gt;0),VLOOKUP(AH128,#REF!,2,FALSE)))))</f>
        <v/>
      </c>
      <c r="AJ128" s="217"/>
      <c r="AK128" s="218"/>
      <c r="AL128" s="220" t="str">
        <f t="shared" ca="1" si="50"/>
        <v/>
      </c>
      <c r="AM128" s="229"/>
      <c r="AN128" s="231"/>
      <c r="AO128" s="206" t="str">
        <f>IF(AND(OR(AM128="",AM128=0),OR(AM128="",AN128=0)),"",IF(OR(AM128="",AM128=0),"DEFINIR PREÇO",IF(OR(AN128="",AN128=0),"DEFINIR FORNECEDOR",IF(OR(AM128&lt;&gt;"",AM128&lt;&gt;0),VLOOKUP(AN128,#REF!,2,FALSE)))))</f>
        <v/>
      </c>
      <c r="AP128" s="217"/>
      <c r="AQ128" s="218"/>
      <c r="AR128" s="220" t="str">
        <f t="shared" ca="1" si="51"/>
        <v/>
      </c>
      <c r="AS128" s="229"/>
      <c r="AT128" s="231"/>
      <c r="AU128" s="194"/>
      <c r="AV128" s="217"/>
      <c r="AW128" s="218"/>
      <c r="AX128" s="220" t="str">
        <f t="shared" ca="1" si="52"/>
        <v/>
      </c>
      <c r="AY128" s="229"/>
      <c r="AZ128" s="234"/>
      <c r="BA128" s="209" t="str">
        <f>IF(AND(OR(AY128="",AY128=0),OR(AY128="",AZ128=0)),"",IF(OR(AY128="",AY128=0),"DEFINIR PREÇO",IF(OR(AZ128="",AZ128=0),"DEFINIR FORNECEDOR",IF(OR(AY128&lt;&gt;"",AY128&lt;&gt;0),VLOOKUP(AZ128,#REF!,2,FALSE)))))</f>
        <v/>
      </c>
      <c r="BB128" s="217"/>
      <c r="BC128" s="218"/>
      <c r="BD128" s="220" t="str">
        <f t="shared" ca="1" si="53"/>
        <v/>
      </c>
      <c r="BE128" s="195"/>
      <c r="BF128" s="196"/>
      <c r="BG128" s="194"/>
      <c r="BH128" s="194"/>
      <c r="BI128" s="194"/>
      <c r="BJ128" s="197"/>
    </row>
    <row r="129" spans="1:62" ht="25.5" x14ac:dyDescent="0.25">
      <c r="A129" s="44" t="s">
        <v>405</v>
      </c>
      <c r="B129" s="58" t="s">
        <v>322</v>
      </c>
      <c r="C129" s="45">
        <v>5</v>
      </c>
      <c r="D129" s="55" t="s">
        <v>276</v>
      </c>
      <c r="E129" s="45" t="s">
        <v>20</v>
      </c>
      <c r="F129" s="46">
        <v>1047.19</v>
      </c>
      <c r="G129" s="47">
        <v>1047.19</v>
      </c>
      <c r="H129" s="240" t="s">
        <v>2000</v>
      </c>
      <c r="I129" s="240" t="s">
        <v>2001</v>
      </c>
      <c r="J129" s="242">
        <f>IFERROR(IF(N129&lt;&gt;"",M129,IF(I129 = PARÂMETROS!$B$5,Q129, IF(I129 = PARÂMETROS!$B$6,R129,IF(I129 = PARÂMETROS!$B$7,S129,IF(I129 = PARÂMETROS!$B$8, T129,"DEFINIR CRITÉRIO"))))),"SEM PREÇO")</f>
        <v>1047.19</v>
      </c>
      <c r="K129" s="241">
        <f t="shared" si="42"/>
        <v>0</v>
      </c>
      <c r="L129" s="238" t="str">
        <f t="shared" si="43"/>
        <v/>
      </c>
      <c r="M129" s="46">
        <v>1047.19</v>
      </c>
      <c r="N129" s="52" t="s">
        <v>1047</v>
      </c>
      <c r="O129" s="53"/>
      <c r="P129" s="235">
        <f t="shared" si="44"/>
        <v>0</v>
      </c>
      <c r="Q129" s="236">
        <f t="shared" si="45"/>
        <v>0</v>
      </c>
      <c r="R129" s="236">
        <f t="shared" si="46"/>
        <v>0</v>
      </c>
      <c r="S129" s="236">
        <f t="shared" si="47"/>
        <v>0</v>
      </c>
      <c r="T129" s="236">
        <f t="shared" si="48"/>
        <v>0</v>
      </c>
      <c r="U129" s="237" t="str">
        <f>IF(AA129 = "", "", IF(OR($H129 = PARÂMETROS!$E$5, $H129 = ""), AA129, IF(OR(AA129 &lt; (1-VLOOKUP($H129,PARÂMETROS!$E:$F,2,FALSE))*$P129, AA129 &gt; (1+VLOOKUP($H129,PARÂMETROS!$E:$F,2,FALSE))*$P129),"",AA129)))</f>
        <v/>
      </c>
      <c r="V129" s="237" t="str">
        <f>IF(AG129 = "", "", IF(OR($H129 = PARÂMETROS!$E$5, $H129 = ""), AG129, IF(OR(AG129 &lt; (1-VLOOKUP($H129,PARÂMETROS!$E:$F,2,FALSE))*$P134, AG129 &gt; (1+VLOOKUP($H129,PARÂMETROS!$E:$F,2,FALSE))*$P129),"",AG129)))</f>
        <v/>
      </c>
      <c r="W129" s="237" t="str">
        <f>IF(AM129 = "", "", IF(OR($H129 = PARÂMETROS!$E$5, $H129 = ""), AM129, IF(OR(AM129 &lt; (1-VLOOKUP($H129,PARÂMETROS!$E:$F,2,FALSE))*$P129, AM129 &gt; (1+VLOOKUP($H129,PARÂMETROS!$E:$F,2,FALSE))*$P129),"",AM129)))</f>
        <v/>
      </c>
      <c r="X129" s="237" t="str">
        <f>IF(AS129 = "", "", IF(OR($H129 = PARÂMETROS!$E$5, $H129 = ""), AS129, IF(OR(AS129 &lt; (1-VLOOKUP($H129,PARÂMETROS!$E:$F,2,FALSE))*$P129, AS129 &gt; (1+VLOOKUP($H129,PARÂMETROS!$E:$F,2,FALSE))*$P129),"",AS129)))</f>
        <v/>
      </c>
      <c r="Y129" s="237" t="str">
        <f>IF(AY129 = "", "", IF(OR($H129 = PARÂMETROS!$E$5, $H129 = ""), AY129, IF(OR(AY129 &lt; (1-VLOOKUP($H129,PARÂMETROS!$E:$F,2,FALSE))*$P129, AY129 &gt; (1+VLOOKUP($H129,PARÂMETROS!$E:$F,2,FALSE))*$P129),"",AY129)))</f>
        <v/>
      </c>
      <c r="Z129" s="237" t="str">
        <f>IF(BE129 = "", "", IF(OR($H129 = PARÂMETROS!$E$5, $H129 = ""), BE129, IF(OR(BE129 &lt; (1-VLOOKUP($H129,PARÂMETROS!$E:$F,2,FALSE))*$P129, BE129 &gt; (1+VLOOKUP($H129,PARÂMETROS!$E:$F,2,FALSE))*$P129),"",BE129)))</f>
        <v/>
      </c>
      <c r="AA129" s="207"/>
      <c r="AB129" s="208"/>
      <c r="AC129" s="206" t="str">
        <f>IF(AND(OR(AA129="",AA129=0),OR(AA129="",AB129=0)),"",IF(OR(AA129="",AA129=0),"DEFINIR PREÇO",IF(OR(AB129="",AB129=0),"DEFINIR FORNECEDOR",IF(OR(AA129&lt;&gt;"",AA129&lt;&gt;0),VLOOKUP(AB129,#REF!,2,FALSE)))))</f>
        <v/>
      </c>
      <c r="AD129" s="217"/>
      <c r="AE129" s="218"/>
      <c r="AF129" s="220" t="str">
        <f t="shared" ca="1" si="49"/>
        <v/>
      </c>
      <c r="AG129" s="229"/>
      <c r="AH129" s="231"/>
      <c r="AI129" s="206" t="str">
        <f>IF(AND(OR(AG129="",AG129=0),OR(AG129="",AH129=0)),"",IF(OR(AG129="",AG129=0),"DEFINIR PREÇO",IF(OR(AH129="",AH129=0),"DEFINIR FORNECEDOR",IF(OR(AG129&lt;&gt;"",AG129&lt;&gt;0),VLOOKUP(AH129,#REF!,2,FALSE)))))</f>
        <v/>
      </c>
      <c r="AJ129" s="217"/>
      <c r="AK129" s="218"/>
      <c r="AL129" s="220" t="str">
        <f t="shared" ca="1" si="50"/>
        <v/>
      </c>
      <c r="AM129" s="229"/>
      <c r="AN129" s="231"/>
      <c r="AO129" s="206" t="str">
        <f>IF(AND(OR(AM129="",AM129=0),OR(AM129="",AN129=0)),"",IF(OR(AM129="",AM129=0),"DEFINIR PREÇO",IF(OR(AN129="",AN129=0),"DEFINIR FORNECEDOR",IF(OR(AM129&lt;&gt;"",AM129&lt;&gt;0),VLOOKUP(AN129,#REF!,2,FALSE)))))</f>
        <v/>
      </c>
      <c r="AP129" s="217"/>
      <c r="AQ129" s="218"/>
      <c r="AR129" s="220" t="str">
        <f t="shared" ca="1" si="51"/>
        <v/>
      </c>
      <c r="AS129" s="229"/>
      <c r="AT129" s="231"/>
      <c r="AU129" s="194"/>
      <c r="AV129" s="217"/>
      <c r="AW129" s="218"/>
      <c r="AX129" s="220" t="str">
        <f t="shared" ca="1" si="52"/>
        <v/>
      </c>
      <c r="AY129" s="229"/>
      <c r="AZ129" s="234"/>
      <c r="BA129" s="209" t="str">
        <f>IF(AND(OR(AY129="",AY129=0),OR(AY129="",AZ129=0)),"",IF(OR(AY129="",AY129=0),"DEFINIR PREÇO",IF(OR(AZ129="",AZ129=0),"DEFINIR FORNECEDOR",IF(OR(AY129&lt;&gt;"",AY129&lt;&gt;0),VLOOKUP(AZ129,#REF!,2,FALSE)))))</f>
        <v/>
      </c>
      <c r="BB129" s="217"/>
      <c r="BC129" s="218"/>
      <c r="BD129" s="220" t="str">
        <f t="shared" ca="1" si="53"/>
        <v/>
      </c>
      <c r="BE129" s="195"/>
      <c r="BF129" s="196"/>
      <c r="BG129" s="194"/>
      <c r="BH129" s="194"/>
      <c r="BI129" s="194"/>
      <c r="BJ129" s="197"/>
    </row>
    <row r="130" spans="1:62" ht="25.5" x14ac:dyDescent="0.25">
      <c r="A130" s="44" t="s">
        <v>405</v>
      </c>
      <c r="B130" s="58" t="s">
        <v>323</v>
      </c>
      <c r="C130" s="45">
        <v>5</v>
      </c>
      <c r="D130" s="55" t="s">
        <v>277</v>
      </c>
      <c r="E130" s="45" t="s">
        <v>20</v>
      </c>
      <c r="F130" s="46">
        <v>926.54</v>
      </c>
      <c r="G130" s="47">
        <v>926.54</v>
      </c>
      <c r="H130" s="240" t="s">
        <v>2000</v>
      </c>
      <c r="I130" s="240" t="s">
        <v>2001</v>
      </c>
      <c r="J130" s="242">
        <f>IFERROR(IF(N130&lt;&gt;"",M130,IF(I130 = PARÂMETROS!$B$5,Q130, IF(I130 = PARÂMETROS!$B$6,R130,IF(I130 = PARÂMETROS!$B$7,S130,IF(I130 = PARÂMETROS!$B$8, T130,"DEFINIR CRITÉRIO"))))),"SEM PREÇO")</f>
        <v>926.54</v>
      </c>
      <c r="K130" s="241">
        <f t="shared" si="42"/>
        <v>0</v>
      </c>
      <c r="L130" s="238" t="str">
        <f t="shared" si="43"/>
        <v/>
      </c>
      <c r="M130" s="46">
        <v>926.54</v>
      </c>
      <c r="N130" s="52" t="s">
        <v>1047</v>
      </c>
      <c r="O130" s="53"/>
      <c r="P130" s="235">
        <f t="shared" si="44"/>
        <v>0</v>
      </c>
      <c r="Q130" s="236">
        <f t="shared" si="45"/>
        <v>0</v>
      </c>
      <c r="R130" s="236">
        <f t="shared" si="46"/>
        <v>0</v>
      </c>
      <c r="S130" s="236">
        <f t="shared" si="47"/>
        <v>0</v>
      </c>
      <c r="T130" s="236">
        <f t="shared" si="48"/>
        <v>0</v>
      </c>
      <c r="U130" s="237" t="str">
        <f>IF(AA130 = "", "", IF(OR($H130 = PARÂMETROS!$E$5, $H130 = ""), AA130, IF(OR(AA130 &lt; (1-VLOOKUP($H130,PARÂMETROS!$E:$F,2,FALSE))*$P130, AA130 &gt; (1+VLOOKUP($H130,PARÂMETROS!$E:$F,2,FALSE))*$P130),"",AA130)))</f>
        <v/>
      </c>
      <c r="V130" s="237" t="str">
        <f>IF(AG130 = "", "", IF(OR($H130 = PARÂMETROS!$E$5, $H130 = ""), AG130, IF(OR(AG130 &lt; (1-VLOOKUP($H130,PARÂMETROS!$E:$F,2,FALSE))*$P135, AG130 &gt; (1+VLOOKUP($H130,PARÂMETROS!$E:$F,2,FALSE))*$P130),"",AG130)))</f>
        <v/>
      </c>
      <c r="W130" s="237" t="str">
        <f>IF(AM130 = "", "", IF(OR($H130 = PARÂMETROS!$E$5, $H130 = ""), AM130, IF(OR(AM130 &lt; (1-VLOOKUP($H130,PARÂMETROS!$E:$F,2,FALSE))*$P130, AM130 &gt; (1+VLOOKUP($H130,PARÂMETROS!$E:$F,2,FALSE))*$P130),"",AM130)))</f>
        <v/>
      </c>
      <c r="X130" s="237" t="str">
        <f>IF(AS130 = "", "", IF(OR($H130 = PARÂMETROS!$E$5, $H130 = ""), AS130, IF(OR(AS130 &lt; (1-VLOOKUP($H130,PARÂMETROS!$E:$F,2,FALSE))*$P130, AS130 &gt; (1+VLOOKUP($H130,PARÂMETROS!$E:$F,2,FALSE))*$P130),"",AS130)))</f>
        <v/>
      </c>
      <c r="Y130" s="237" t="str">
        <f>IF(AY130 = "", "", IF(OR($H130 = PARÂMETROS!$E$5, $H130 = ""), AY130, IF(OR(AY130 &lt; (1-VLOOKUP($H130,PARÂMETROS!$E:$F,2,FALSE))*$P130, AY130 &gt; (1+VLOOKUP($H130,PARÂMETROS!$E:$F,2,FALSE))*$P130),"",AY130)))</f>
        <v/>
      </c>
      <c r="Z130" s="237" t="str">
        <f>IF(BE130 = "", "", IF(OR($H130 = PARÂMETROS!$E$5, $H130 = ""), BE130, IF(OR(BE130 &lt; (1-VLOOKUP($H130,PARÂMETROS!$E:$F,2,FALSE))*$P130, BE130 &gt; (1+VLOOKUP($H130,PARÂMETROS!$E:$F,2,FALSE))*$P130),"",BE130)))</f>
        <v/>
      </c>
      <c r="AA130" s="207"/>
      <c r="AB130" s="208"/>
      <c r="AC130" s="206" t="str">
        <f>IF(AND(OR(AA130="",AA130=0),OR(AA130="",AB130=0)),"",IF(OR(AA130="",AA130=0),"DEFINIR PREÇO",IF(OR(AB130="",AB130=0),"DEFINIR FORNECEDOR",IF(OR(AA130&lt;&gt;"",AA130&lt;&gt;0),VLOOKUP(AB130,#REF!,2,FALSE)))))</f>
        <v/>
      </c>
      <c r="AD130" s="217"/>
      <c r="AE130" s="218"/>
      <c r="AF130" s="220" t="str">
        <f t="shared" ca="1" si="49"/>
        <v/>
      </c>
      <c r="AG130" s="229"/>
      <c r="AH130" s="231"/>
      <c r="AI130" s="206" t="str">
        <f>IF(AND(OR(AG130="",AG130=0),OR(AG130="",AH130=0)),"",IF(OR(AG130="",AG130=0),"DEFINIR PREÇO",IF(OR(AH130="",AH130=0),"DEFINIR FORNECEDOR",IF(OR(AG130&lt;&gt;"",AG130&lt;&gt;0),VLOOKUP(AH130,#REF!,2,FALSE)))))</f>
        <v/>
      </c>
      <c r="AJ130" s="217"/>
      <c r="AK130" s="218"/>
      <c r="AL130" s="220" t="str">
        <f t="shared" ca="1" si="50"/>
        <v/>
      </c>
      <c r="AM130" s="229"/>
      <c r="AN130" s="231"/>
      <c r="AO130" s="206" t="str">
        <f>IF(AND(OR(AM130="",AM130=0),OR(AM130="",AN130=0)),"",IF(OR(AM130="",AM130=0),"DEFINIR PREÇO",IF(OR(AN130="",AN130=0),"DEFINIR FORNECEDOR",IF(OR(AM130&lt;&gt;"",AM130&lt;&gt;0),VLOOKUP(AN130,#REF!,2,FALSE)))))</f>
        <v/>
      </c>
      <c r="AP130" s="217"/>
      <c r="AQ130" s="218"/>
      <c r="AR130" s="220" t="str">
        <f t="shared" ca="1" si="51"/>
        <v/>
      </c>
      <c r="AS130" s="229"/>
      <c r="AT130" s="231"/>
      <c r="AU130" s="194"/>
      <c r="AV130" s="217"/>
      <c r="AW130" s="218"/>
      <c r="AX130" s="220" t="str">
        <f t="shared" ca="1" si="52"/>
        <v/>
      </c>
      <c r="AY130" s="229"/>
      <c r="AZ130" s="234"/>
      <c r="BA130" s="209" t="str">
        <f>IF(AND(OR(AY130="",AY130=0),OR(AY130="",AZ130=0)),"",IF(OR(AY130="",AY130=0),"DEFINIR PREÇO",IF(OR(AZ130="",AZ130=0),"DEFINIR FORNECEDOR",IF(OR(AY130&lt;&gt;"",AY130&lt;&gt;0),VLOOKUP(AZ130,#REF!,2,FALSE)))))</f>
        <v/>
      </c>
      <c r="BB130" s="217"/>
      <c r="BC130" s="218"/>
      <c r="BD130" s="220" t="str">
        <f t="shared" ca="1" si="53"/>
        <v/>
      </c>
      <c r="BE130" s="195"/>
      <c r="BF130" s="196"/>
      <c r="BG130" s="194"/>
      <c r="BH130" s="194"/>
      <c r="BI130" s="194"/>
      <c r="BJ130" s="197"/>
    </row>
    <row r="131" spans="1:62" ht="25.5" x14ac:dyDescent="0.25">
      <c r="A131" s="44" t="s">
        <v>405</v>
      </c>
      <c r="B131" s="58" t="s">
        <v>324</v>
      </c>
      <c r="C131" s="45">
        <v>5</v>
      </c>
      <c r="D131" s="55" t="s">
        <v>278</v>
      </c>
      <c r="E131" s="45" t="s">
        <v>20</v>
      </c>
      <c r="F131" s="46">
        <v>1591.17</v>
      </c>
      <c r="G131" s="47">
        <v>1591.17</v>
      </c>
      <c r="H131" s="240" t="s">
        <v>2000</v>
      </c>
      <c r="I131" s="240" t="s">
        <v>2001</v>
      </c>
      <c r="J131" s="242">
        <f>IFERROR(IF(N131&lt;&gt;"",M131,IF(I131 = PARÂMETROS!$B$5,Q131, IF(I131 = PARÂMETROS!$B$6,R131,IF(I131 = PARÂMETROS!$B$7,S131,IF(I131 = PARÂMETROS!$B$8, T131,"DEFINIR CRITÉRIO"))))),"SEM PREÇO")</f>
        <v>1591.17</v>
      </c>
      <c r="K131" s="241">
        <f t="shared" si="42"/>
        <v>0</v>
      </c>
      <c r="L131" s="238" t="str">
        <f t="shared" si="43"/>
        <v/>
      </c>
      <c r="M131" s="46">
        <v>1591.17</v>
      </c>
      <c r="N131" s="52" t="s">
        <v>1047</v>
      </c>
      <c r="O131" s="53"/>
      <c r="P131" s="235">
        <f t="shared" si="44"/>
        <v>0</v>
      </c>
      <c r="Q131" s="236">
        <f t="shared" si="45"/>
        <v>0</v>
      </c>
      <c r="R131" s="236">
        <f t="shared" si="46"/>
        <v>0</v>
      </c>
      <c r="S131" s="236">
        <f t="shared" si="47"/>
        <v>0</v>
      </c>
      <c r="T131" s="236">
        <f t="shared" si="48"/>
        <v>0</v>
      </c>
      <c r="U131" s="237" t="str">
        <f>IF(AA131 = "", "", IF(OR($H131 = PARÂMETROS!$E$5, $H131 = ""), AA131, IF(OR(AA131 &lt; (1-VLOOKUP($H131,PARÂMETROS!$E:$F,2,FALSE))*$P131, AA131 &gt; (1+VLOOKUP($H131,PARÂMETROS!$E:$F,2,FALSE))*$P131),"",AA131)))</f>
        <v/>
      </c>
      <c r="V131" s="237" t="str">
        <f>IF(AG131 = "", "", IF(OR($H131 = PARÂMETROS!$E$5, $H131 = ""), AG131, IF(OR(AG131 &lt; (1-VLOOKUP($H131,PARÂMETROS!$E:$F,2,FALSE))*$P136, AG131 &gt; (1+VLOOKUP($H131,PARÂMETROS!$E:$F,2,FALSE))*$P131),"",AG131)))</f>
        <v/>
      </c>
      <c r="W131" s="237" t="str">
        <f>IF(AM131 = "", "", IF(OR($H131 = PARÂMETROS!$E$5, $H131 = ""), AM131, IF(OR(AM131 &lt; (1-VLOOKUP($H131,PARÂMETROS!$E:$F,2,FALSE))*$P131, AM131 &gt; (1+VLOOKUP($H131,PARÂMETROS!$E:$F,2,FALSE))*$P131),"",AM131)))</f>
        <v/>
      </c>
      <c r="X131" s="237" t="str">
        <f>IF(AS131 = "", "", IF(OR($H131 = PARÂMETROS!$E$5, $H131 = ""), AS131, IF(OR(AS131 &lt; (1-VLOOKUP($H131,PARÂMETROS!$E:$F,2,FALSE))*$P131, AS131 &gt; (1+VLOOKUP($H131,PARÂMETROS!$E:$F,2,FALSE))*$P131),"",AS131)))</f>
        <v/>
      </c>
      <c r="Y131" s="237" t="str">
        <f>IF(AY131 = "", "", IF(OR($H131 = PARÂMETROS!$E$5, $H131 = ""), AY131, IF(OR(AY131 &lt; (1-VLOOKUP($H131,PARÂMETROS!$E:$F,2,FALSE))*$P131, AY131 &gt; (1+VLOOKUP($H131,PARÂMETROS!$E:$F,2,FALSE))*$P131),"",AY131)))</f>
        <v/>
      </c>
      <c r="Z131" s="237" t="str">
        <f>IF(BE131 = "", "", IF(OR($H131 = PARÂMETROS!$E$5, $H131 = ""), BE131, IF(OR(BE131 &lt; (1-VLOOKUP($H131,PARÂMETROS!$E:$F,2,FALSE))*$P131, BE131 &gt; (1+VLOOKUP($H131,PARÂMETROS!$E:$F,2,FALSE))*$P131),"",BE131)))</f>
        <v/>
      </c>
      <c r="AA131" s="207"/>
      <c r="AB131" s="208"/>
      <c r="AC131" s="206" t="str">
        <f>IF(AND(OR(AA131="",AA131=0),OR(AA131="",AB131=0)),"",IF(OR(AA131="",AA131=0),"DEFINIR PREÇO",IF(OR(AB131="",AB131=0),"DEFINIR FORNECEDOR",IF(OR(AA131&lt;&gt;"",AA131&lt;&gt;0),VLOOKUP(AB131,#REF!,2,FALSE)))))</f>
        <v/>
      </c>
      <c r="AD131" s="217"/>
      <c r="AE131" s="218"/>
      <c r="AF131" s="220" t="str">
        <f t="shared" ca="1" si="49"/>
        <v/>
      </c>
      <c r="AG131" s="229"/>
      <c r="AH131" s="231"/>
      <c r="AI131" s="206" t="str">
        <f>IF(AND(OR(AG131="",AG131=0),OR(AG131="",AH131=0)),"",IF(OR(AG131="",AG131=0),"DEFINIR PREÇO",IF(OR(AH131="",AH131=0),"DEFINIR FORNECEDOR",IF(OR(AG131&lt;&gt;"",AG131&lt;&gt;0),VLOOKUP(AH131,#REF!,2,FALSE)))))</f>
        <v/>
      </c>
      <c r="AJ131" s="217"/>
      <c r="AK131" s="218"/>
      <c r="AL131" s="220" t="str">
        <f t="shared" ca="1" si="50"/>
        <v/>
      </c>
      <c r="AM131" s="229"/>
      <c r="AN131" s="231"/>
      <c r="AO131" s="206" t="str">
        <f>IF(AND(OR(AM131="",AM131=0),OR(AM131="",AN131=0)),"",IF(OR(AM131="",AM131=0),"DEFINIR PREÇO",IF(OR(AN131="",AN131=0),"DEFINIR FORNECEDOR",IF(OR(AM131&lt;&gt;"",AM131&lt;&gt;0),VLOOKUP(AN131,#REF!,2,FALSE)))))</f>
        <v/>
      </c>
      <c r="AP131" s="217"/>
      <c r="AQ131" s="218"/>
      <c r="AR131" s="220" t="str">
        <f t="shared" ca="1" si="51"/>
        <v/>
      </c>
      <c r="AS131" s="229"/>
      <c r="AT131" s="231"/>
      <c r="AU131" s="194"/>
      <c r="AV131" s="217"/>
      <c r="AW131" s="218"/>
      <c r="AX131" s="220" t="str">
        <f t="shared" ca="1" si="52"/>
        <v/>
      </c>
      <c r="AY131" s="229"/>
      <c r="AZ131" s="234"/>
      <c r="BA131" s="209" t="str">
        <f>IF(AND(OR(AY131="",AY131=0),OR(AY131="",AZ131=0)),"",IF(OR(AY131="",AY131=0),"DEFINIR PREÇO",IF(OR(AZ131="",AZ131=0),"DEFINIR FORNECEDOR",IF(OR(AY131&lt;&gt;"",AY131&lt;&gt;0),VLOOKUP(AZ131,#REF!,2,FALSE)))))</f>
        <v/>
      </c>
      <c r="BB131" s="217"/>
      <c r="BC131" s="218"/>
      <c r="BD131" s="220" t="str">
        <f t="shared" ca="1" si="53"/>
        <v/>
      </c>
      <c r="BE131" s="195"/>
      <c r="BF131" s="196"/>
      <c r="BG131" s="194"/>
      <c r="BH131" s="194"/>
      <c r="BI131" s="194"/>
      <c r="BJ131" s="197"/>
    </row>
    <row r="132" spans="1:62" ht="25.5" x14ac:dyDescent="0.25">
      <c r="A132" s="44" t="s">
        <v>405</v>
      </c>
      <c r="B132" s="58" t="s">
        <v>325</v>
      </c>
      <c r="C132" s="45">
        <v>5</v>
      </c>
      <c r="D132" s="55" t="s">
        <v>279</v>
      </c>
      <c r="E132" s="45" t="s">
        <v>20</v>
      </c>
      <c r="F132" s="46">
        <v>1511.55</v>
      </c>
      <c r="G132" s="47">
        <v>1511.55</v>
      </c>
      <c r="H132" s="240" t="s">
        <v>2000</v>
      </c>
      <c r="I132" s="240" t="s">
        <v>2001</v>
      </c>
      <c r="J132" s="242">
        <f>IFERROR(IF(N132&lt;&gt;"",M132,IF(I132 = PARÂMETROS!$B$5,Q132, IF(I132 = PARÂMETROS!$B$6,R132,IF(I132 = PARÂMETROS!$B$7,S132,IF(I132 = PARÂMETROS!$B$8, T132,"DEFINIR CRITÉRIO"))))),"SEM PREÇO")</f>
        <v>1511.55</v>
      </c>
      <c r="K132" s="241">
        <f t="shared" si="42"/>
        <v>0</v>
      </c>
      <c r="L132" s="238" t="str">
        <f t="shared" si="43"/>
        <v/>
      </c>
      <c r="M132" s="46">
        <v>1511.55</v>
      </c>
      <c r="N132" s="52" t="s">
        <v>1047</v>
      </c>
      <c r="O132" s="53"/>
      <c r="P132" s="235">
        <f t="shared" si="44"/>
        <v>0</v>
      </c>
      <c r="Q132" s="236">
        <f t="shared" si="45"/>
        <v>0</v>
      </c>
      <c r="R132" s="236">
        <f t="shared" si="46"/>
        <v>0</v>
      </c>
      <c r="S132" s="236">
        <f t="shared" si="47"/>
        <v>0</v>
      </c>
      <c r="T132" s="236">
        <f t="shared" si="48"/>
        <v>0</v>
      </c>
      <c r="U132" s="237" t="str">
        <f>IF(AA132 = "", "", IF(OR($H132 = PARÂMETROS!$E$5, $H132 = ""), AA132, IF(OR(AA132 &lt; (1-VLOOKUP($H132,PARÂMETROS!$E:$F,2,FALSE))*$P132, AA132 &gt; (1+VLOOKUP($H132,PARÂMETROS!$E:$F,2,FALSE))*$P132),"",AA132)))</f>
        <v/>
      </c>
      <c r="V132" s="237" t="str">
        <f>IF(AG132 = "", "", IF(OR($H132 = PARÂMETROS!$E$5, $H132 = ""), AG132, IF(OR(AG132 &lt; (1-VLOOKUP($H132,PARÂMETROS!$E:$F,2,FALSE))*$P137, AG132 &gt; (1+VLOOKUP($H132,PARÂMETROS!$E:$F,2,FALSE))*$P132),"",AG132)))</f>
        <v/>
      </c>
      <c r="W132" s="237" t="str">
        <f>IF(AM132 = "", "", IF(OR($H132 = PARÂMETROS!$E$5, $H132 = ""), AM132, IF(OR(AM132 &lt; (1-VLOOKUP($H132,PARÂMETROS!$E:$F,2,FALSE))*$P132, AM132 &gt; (1+VLOOKUP($H132,PARÂMETROS!$E:$F,2,FALSE))*$P132),"",AM132)))</f>
        <v/>
      </c>
      <c r="X132" s="237" t="str">
        <f>IF(AS132 = "", "", IF(OR($H132 = PARÂMETROS!$E$5, $H132 = ""), AS132, IF(OR(AS132 &lt; (1-VLOOKUP($H132,PARÂMETROS!$E:$F,2,FALSE))*$P132, AS132 &gt; (1+VLOOKUP($H132,PARÂMETROS!$E:$F,2,FALSE))*$P132),"",AS132)))</f>
        <v/>
      </c>
      <c r="Y132" s="237" t="str">
        <f>IF(AY132 = "", "", IF(OR($H132 = PARÂMETROS!$E$5, $H132 = ""), AY132, IF(OR(AY132 &lt; (1-VLOOKUP($H132,PARÂMETROS!$E:$F,2,FALSE))*$P132, AY132 &gt; (1+VLOOKUP($H132,PARÂMETROS!$E:$F,2,FALSE))*$P132),"",AY132)))</f>
        <v/>
      </c>
      <c r="Z132" s="237" t="str">
        <f>IF(BE132 = "", "", IF(OR($H132 = PARÂMETROS!$E$5, $H132 = ""), BE132, IF(OR(BE132 &lt; (1-VLOOKUP($H132,PARÂMETROS!$E:$F,2,FALSE))*$P132, BE132 &gt; (1+VLOOKUP($H132,PARÂMETROS!$E:$F,2,FALSE))*$P132),"",BE132)))</f>
        <v/>
      </c>
      <c r="AA132" s="207"/>
      <c r="AB132" s="208"/>
      <c r="AC132" s="206" t="str">
        <f>IF(AND(OR(AA132="",AA132=0),OR(AA132="",AB132=0)),"",IF(OR(AA132="",AA132=0),"DEFINIR PREÇO",IF(OR(AB132="",AB132=0),"DEFINIR FORNECEDOR",IF(OR(AA132&lt;&gt;"",AA132&lt;&gt;0),VLOOKUP(AB132,#REF!,2,FALSE)))))</f>
        <v/>
      </c>
      <c r="AD132" s="217"/>
      <c r="AE132" s="218"/>
      <c r="AF132" s="220" t="str">
        <f t="shared" ca="1" si="49"/>
        <v/>
      </c>
      <c r="AG132" s="229"/>
      <c r="AH132" s="231"/>
      <c r="AI132" s="206" t="str">
        <f>IF(AND(OR(AG132="",AG132=0),OR(AG132="",AH132=0)),"",IF(OR(AG132="",AG132=0),"DEFINIR PREÇO",IF(OR(AH132="",AH132=0),"DEFINIR FORNECEDOR",IF(OR(AG132&lt;&gt;"",AG132&lt;&gt;0),VLOOKUP(AH132,#REF!,2,FALSE)))))</f>
        <v/>
      </c>
      <c r="AJ132" s="217"/>
      <c r="AK132" s="218"/>
      <c r="AL132" s="220" t="str">
        <f t="shared" ca="1" si="50"/>
        <v/>
      </c>
      <c r="AM132" s="229"/>
      <c r="AN132" s="231"/>
      <c r="AO132" s="206" t="str">
        <f>IF(AND(OR(AM132="",AM132=0),OR(AM132="",AN132=0)),"",IF(OR(AM132="",AM132=0),"DEFINIR PREÇO",IF(OR(AN132="",AN132=0),"DEFINIR FORNECEDOR",IF(OR(AM132&lt;&gt;"",AM132&lt;&gt;0),VLOOKUP(AN132,#REF!,2,FALSE)))))</f>
        <v/>
      </c>
      <c r="AP132" s="217"/>
      <c r="AQ132" s="218"/>
      <c r="AR132" s="220" t="str">
        <f t="shared" ca="1" si="51"/>
        <v/>
      </c>
      <c r="AS132" s="229"/>
      <c r="AT132" s="231"/>
      <c r="AU132" s="194"/>
      <c r="AV132" s="217"/>
      <c r="AW132" s="218"/>
      <c r="AX132" s="220" t="str">
        <f t="shared" ca="1" si="52"/>
        <v/>
      </c>
      <c r="AY132" s="229"/>
      <c r="AZ132" s="234"/>
      <c r="BA132" s="209" t="str">
        <f>IF(AND(OR(AY132="",AY132=0),OR(AY132="",AZ132=0)),"",IF(OR(AY132="",AY132=0),"DEFINIR PREÇO",IF(OR(AZ132="",AZ132=0),"DEFINIR FORNECEDOR",IF(OR(AY132&lt;&gt;"",AY132&lt;&gt;0),VLOOKUP(AZ132,#REF!,2,FALSE)))))</f>
        <v/>
      </c>
      <c r="BB132" s="217"/>
      <c r="BC132" s="218"/>
      <c r="BD132" s="220" t="str">
        <f t="shared" ca="1" si="53"/>
        <v/>
      </c>
      <c r="BE132" s="195"/>
      <c r="BF132" s="196"/>
      <c r="BG132" s="194"/>
      <c r="BH132" s="194"/>
      <c r="BI132" s="194"/>
      <c r="BJ132" s="197"/>
    </row>
    <row r="133" spans="1:62" ht="25.5" x14ac:dyDescent="0.25">
      <c r="A133" s="44" t="s">
        <v>405</v>
      </c>
      <c r="B133" s="58" t="s">
        <v>326</v>
      </c>
      <c r="C133" s="45">
        <v>5</v>
      </c>
      <c r="D133" s="55" t="s">
        <v>280</v>
      </c>
      <c r="E133" s="45" t="s">
        <v>20</v>
      </c>
      <c r="F133" s="46">
        <v>820.78</v>
      </c>
      <c r="G133" s="47">
        <v>820.78</v>
      </c>
      <c r="H133" s="240" t="s">
        <v>2000</v>
      </c>
      <c r="I133" s="240" t="s">
        <v>2001</v>
      </c>
      <c r="J133" s="242">
        <f>IFERROR(IF(N133&lt;&gt;"",M133,IF(I133 = PARÂMETROS!$B$5,Q133, IF(I133 = PARÂMETROS!$B$6,R133,IF(I133 = PARÂMETROS!$B$7,S133,IF(I133 = PARÂMETROS!$B$8, T133,"DEFINIR CRITÉRIO"))))),"SEM PREÇO")</f>
        <v>820.78</v>
      </c>
      <c r="K133" s="241">
        <f t="shared" ref="K133:K196" si="74">IF(OR(J133="", J133="DEFINIR VALOR", J133="DEFINIR CRITÉRIO"),"",IFERROR(_xlfn.STDEV.P(AA133,AG133,AM133,AS133,AY133,BE133),0))</f>
        <v>0</v>
      </c>
      <c r="L133" s="238" t="str">
        <f t="shared" ref="L133:L196" si="75">IF(OR(P133="", P133="DEFINIR VALOR", P133="DEFINIR CRITÉRIO",K133 = ""),"", IF(P133 = 0, "", K133/P133))</f>
        <v/>
      </c>
      <c r="M133" s="46">
        <v>820.78</v>
      </c>
      <c r="N133" s="52" t="s">
        <v>1047</v>
      </c>
      <c r="O133" s="53"/>
      <c r="P133" s="235">
        <f t="shared" ref="P133:P196" si="76">IFERROR(AVERAGE(AA133,AG133,AM133,AS133,AY133,BE133),0)</f>
        <v>0</v>
      </c>
      <c r="Q133" s="236">
        <f t="shared" ref="Q133:Q196" si="77">IFERROR(AVERAGE(U133:Z133),0)</f>
        <v>0</v>
      </c>
      <c r="R133" s="236">
        <f t="shared" ref="R133:R196" si="78">IFERROR(MEDIAN(U133:Z133),0)</f>
        <v>0</v>
      </c>
      <c r="S133" s="236">
        <f t="shared" ref="S133:S196" si="79">IFERROR(SMALL(U133:Z133,1),0)</f>
        <v>0</v>
      </c>
      <c r="T133" s="236">
        <f t="shared" ref="T133:T196" si="80">IFERROR(_xlfn.MODE.SNGL(U133:Z133),0)</f>
        <v>0</v>
      </c>
      <c r="U133" s="237" t="str">
        <f>IF(AA133 = "", "", IF(OR($H133 = PARÂMETROS!$E$5, $H133 = ""), AA133, IF(OR(AA133 &lt; (1-VLOOKUP($H133,PARÂMETROS!$E:$F,2,FALSE))*$P133, AA133 &gt; (1+VLOOKUP($H133,PARÂMETROS!$E:$F,2,FALSE))*$P133),"",AA133)))</f>
        <v/>
      </c>
      <c r="V133" s="237" t="str">
        <f>IF(AG133 = "", "", IF(OR($H133 = PARÂMETROS!$E$5, $H133 = ""), AG133, IF(OR(AG133 &lt; (1-VLOOKUP($H133,PARÂMETROS!$E:$F,2,FALSE))*$P138, AG133 &gt; (1+VLOOKUP($H133,PARÂMETROS!$E:$F,2,FALSE))*$P133),"",AG133)))</f>
        <v/>
      </c>
      <c r="W133" s="237" t="str">
        <f>IF(AM133 = "", "", IF(OR($H133 = PARÂMETROS!$E$5, $H133 = ""), AM133, IF(OR(AM133 &lt; (1-VLOOKUP($H133,PARÂMETROS!$E:$F,2,FALSE))*$P133, AM133 &gt; (1+VLOOKUP($H133,PARÂMETROS!$E:$F,2,FALSE))*$P133),"",AM133)))</f>
        <v/>
      </c>
      <c r="X133" s="237" t="str">
        <f>IF(AS133 = "", "", IF(OR($H133 = PARÂMETROS!$E$5, $H133 = ""), AS133, IF(OR(AS133 &lt; (1-VLOOKUP($H133,PARÂMETROS!$E:$F,2,FALSE))*$P133, AS133 &gt; (1+VLOOKUP($H133,PARÂMETROS!$E:$F,2,FALSE))*$P133),"",AS133)))</f>
        <v/>
      </c>
      <c r="Y133" s="237" t="str">
        <f>IF(AY133 = "", "", IF(OR($H133 = PARÂMETROS!$E$5, $H133 = ""), AY133, IF(OR(AY133 &lt; (1-VLOOKUP($H133,PARÂMETROS!$E:$F,2,FALSE))*$P133, AY133 &gt; (1+VLOOKUP($H133,PARÂMETROS!$E:$F,2,FALSE))*$P133),"",AY133)))</f>
        <v/>
      </c>
      <c r="Z133" s="237" t="str">
        <f>IF(BE133 = "", "", IF(OR($H133 = PARÂMETROS!$E$5, $H133 = ""), BE133, IF(OR(BE133 &lt; (1-VLOOKUP($H133,PARÂMETROS!$E:$F,2,FALSE))*$P133, BE133 &gt; (1+VLOOKUP($H133,PARÂMETROS!$E:$F,2,FALSE))*$P133),"",BE133)))</f>
        <v/>
      </c>
      <c r="AA133" s="207"/>
      <c r="AB133" s="208"/>
      <c r="AC133" s="206" t="str">
        <f>IF(AND(OR(AA133="",AA133=0),OR(AA133="",AB133=0)),"",IF(OR(AA133="",AA133=0),"DEFINIR PREÇO",IF(OR(AB133="",AB133=0),"DEFINIR FORNECEDOR",IF(OR(AA133&lt;&gt;"",AA133&lt;&gt;0),VLOOKUP(AB133,#REF!,2,FALSE)))))</f>
        <v/>
      </c>
      <c r="AD133" s="217"/>
      <c r="AE133" s="218"/>
      <c r="AF133" s="220" t="str">
        <f t="shared" ca="1" si="49"/>
        <v/>
      </c>
      <c r="AG133" s="229"/>
      <c r="AH133" s="231"/>
      <c r="AI133" s="206" t="str">
        <f>IF(AND(OR(AG133="",AG133=0),OR(AG133="",AH133=0)),"",IF(OR(AG133="",AG133=0),"DEFINIR PREÇO",IF(OR(AH133="",AH133=0),"DEFINIR FORNECEDOR",IF(OR(AG133&lt;&gt;"",AG133&lt;&gt;0),VLOOKUP(AH133,#REF!,2,FALSE)))))</f>
        <v/>
      </c>
      <c r="AJ133" s="217"/>
      <c r="AK133" s="218"/>
      <c r="AL133" s="220" t="str">
        <f t="shared" ca="1" si="50"/>
        <v/>
      </c>
      <c r="AM133" s="229"/>
      <c r="AN133" s="231"/>
      <c r="AO133" s="206" t="str">
        <f>IF(AND(OR(AM133="",AM133=0),OR(AM133="",AN133=0)),"",IF(OR(AM133="",AM133=0),"DEFINIR PREÇO",IF(OR(AN133="",AN133=0),"DEFINIR FORNECEDOR",IF(OR(AM133&lt;&gt;"",AM133&lt;&gt;0),VLOOKUP(AN133,#REF!,2,FALSE)))))</f>
        <v/>
      </c>
      <c r="AP133" s="217"/>
      <c r="AQ133" s="218"/>
      <c r="AR133" s="220" t="str">
        <f t="shared" ca="1" si="51"/>
        <v/>
      </c>
      <c r="AS133" s="229"/>
      <c r="AT133" s="231"/>
      <c r="AU133" s="194"/>
      <c r="AV133" s="217"/>
      <c r="AW133" s="218"/>
      <c r="AX133" s="220" t="str">
        <f t="shared" ca="1" si="52"/>
        <v/>
      </c>
      <c r="AY133" s="229"/>
      <c r="AZ133" s="234"/>
      <c r="BA133" s="209" t="str">
        <f>IF(AND(OR(AY133="",AY133=0),OR(AY133="",AZ133=0)),"",IF(OR(AY133="",AY133=0),"DEFINIR PREÇO",IF(OR(AZ133="",AZ133=0),"DEFINIR FORNECEDOR",IF(OR(AY133&lt;&gt;"",AY133&lt;&gt;0),VLOOKUP(AZ133,#REF!,2,FALSE)))))</f>
        <v/>
      </c>
      <c r="BB133" s="217"/>
      <c r="BC133" s="218"/>
      <c r="BD133" s="220" t="str">
        <f t="shared" ca="1" si="53"/>
        <v/>
      </c>
      <c r="BE133" s="195"/>
      <c r="BF133" s="196"/>
      <c r="BG133" s="194"/>
      <c r="BH133" s="194"/>
      <c r="BI133" s="194"/>
      <c r="BJ133" s="197"/>
    </row>
    <row r="134" spans="1:62" ht="38.25" x14ac:dyDescent="0.25">
      <c r="A134" s="44" t="s">
        <v>405</v>
      </c>
      <c r="B134" s="58" t="s">
        <v>327</v>
      </c>
      <c r="C134" s="45">
        <v>5</v>
      </c>
      <c r="D134" s="55" t="s">
        <v>281</v>
      </c>
      <c r="E134" s="45" t="s">
        <v>20</v>
      </c>
      <c r="F134" s="46">
        <v>1749.58</v>
      </c>
      <c r="G134" s="47">
        <v>1749.58</v>
      </c>
      <c r="H134" s="240" t="s">
        <v>2000</v>
      </c>
      <c r="I134" s="240" t="s">
        <v>2001</v>
      </c>
      <c r="J134" s="242">
        <f>IFERROR(IF(N134&lt;&gt;"",M134,IF(I134 = PARÂMETROS!$B$5,Q134, IF(I134 = PARÂMETROS!$B$6,R134,IF(I134 = PARÂMETROS!$B$7,S134,IF(I134 = PARÂMETROS!$B$8, T134,"DEFINIR CRITÉRIO"))))),"SEM PREÇO")</f>
        <v>1749.58</v>
      </c>
      <c r="K134" s="241">
        <f t="shared" si="74"/>
        <v>0</v>
      </c>
      <c r="L134" s="238" t="str">
        <f t="shared" si="75"/>
        <v/>
      </c>
      <c r="M134" s="46">
        <v>1749.58</v>
      </c>
      <c r="N134" s="52" t="s">
        <v>1047</v>
      </c>
      <c r="O134" s="53"/>
      <c r="P134" s="235">
        <f t="shared" si="76"/>
        <v>0</v>
      </c>
      <c r="Q134" s="236">
        <f t="shared" si="77"/>
        <v>0</v>
      </c>
      <c r="R134" s="236">
        <f t="shared" si="78"/>
        <v>0</v>
      </c>
      <c r="S134" s="236">
        <f t="shared" si="79"/>
        <v>0</v>
      </c>
      <c r="T134" s="236">
        <f t="shared" si="80"/>
        <v>0</v>
      </c>
      <c r="U134" s="237" t="str">
        <f>IF(AA134 = "", "", IF(OR($H134 = PARÂMETROS!$E$5, $H134 = ""), AA134, IF(OR(AA134 &lt; (1-VLOOKUP($H134,PARÂMETROS!$E:$F,2,FALSE))*$P134, AA134 &gt; (1+VLOOKUP($H134,PARÂMETROS!$E:$F,2,FALSE))*$P134),"",AA134)))</f>
        <v/>
      </c>
      <c r="V134" s="237" t="str">
        <f>IF(AG134 = "", "", IF(OR($H134 = PARÂMETROS!$E$5, $H134 = ""), AG134, IF(OR(AG134 &lt; (1-VLOOKUP($H134,PARÂMETROS!$E:$F,2,FALSE))*$P139, AG134 &gt; (1+VLOOKUP($H134,PARÂMETROS!$E:$F,2,FALSE))*$P134),"",AG134)))</f>
        <v/>
      </c>
      <c r="W134" s="237" t="str">
        <f>IF(AM134 = "", "", IF(OR($H134 = PARÂMETROS!$E$5, $H134 = ""), AM134, IF(OR(AM134 &lt; (1-VLOOKUP($H134,PARÂMETROS!$E:$F,2,FALSE))*$P134, AM134 &gt; (1+VLOOKUP($H134,PARÂMETROS!$E:$F,2,FALSE))*$P134),"",AM134)))</f>
        <v/>
      </c>
      <c r="X134" s="237" t="str">
        <f>IF(AS134 = "", "", IF(OR($H134 = PARÂMETROS!$E$5, $H134 = ""), AS134, IF(OR(AS134 &lt; (1-VLOOKUP($H134,PARÂMETROS!$E:$F,2,FALSE))*$P134, AS134 &gt; (1+VLOOKUP($H134,PARÂMETROS!$E:$F,2,FALSE))*$P134),"",AS134)))</f>
        <v/>
      </c>
      <c r="Y134" s="237" t="str">
        <f>IF(AY134 = "", "", IF(OR($H134 = PARÂMETROS!$E$5, $H134 = ""), AY134, IF(OR(AY134 &lt; (1-VLOOKUP($H134,PARÂMETROS!$E:$F,2,FALSE))*$P134, AY134 &gt; (1+VLOOKUP($H134,PARÂMETROS!$E:$F,2,FALSE))*$P134),"",AY134)))</f>
        <v/>
      </c>
      <c r="Z134" s="237" t="str">
        <f>IF(BE134 = "", "", IF(OR($H134 = PARÂMETROS!$E$5, $H134 = ""), BE134, IF(OR(BE134 &lt; (1-VLOOKUP($H134,PARÂMETROS!$E:$F,2,FALSE))*$P134, BE134 &gt; (1+VLOOKUP($H134,PARÂMETROS!$E:$F,2,FALSE))*$P134),"",BE134)))</f>
        <v/>
      </c>
      <c r="AA134" s="207"/>
      <c r="AB134" s="208"/>
      <c r="AC134" s="206" t="str">
        <f>IF(AND(OR(AA134="",AA134=0),OR(AA134="",AB134=0)),"",IF(OR(AA134="",AA134=0),"DEFINIR PREÇO",IF(OR(AB134="",AB134=0),"DEFINIR FORNECEDOR",IF(OR(AA134&lt;&gt;"",AA134&lt;&gt;0),VLOOKUP(AB134,#REF!,2,FALSE)))))</f>
        <v/>
      </c>
      <c r="AD134" s="217"/>
      <c r="AE134" s="218"/>
      <c r="AF134" s="220" t="str">
        <f t="shared" ref="AF134:AF197" ca="1" si="81">IF(AE134 = "", "", IF(AE134 + 180 &gt; TODAY(),"VIGENTE", "DESATUALIZADA"))</f>
        <v/>
      </c>
      <c r="AG134" s="229"/>
      <c r="AH134" s="231"/>
      <c r="AI134" s="206" t="str">
        <f>IF(AND(OR(AG134="",AG134=0),OR(AG134="",AH134=0)),"",IF(OR(AG134="",AG134=0),"DEFINIR PREÇO",IF(OR(AH134="",AH134=0),"DEFINIR FORNECEDOR",IF(OR(AG134&lt;&gt;"",AG134&lt;&gt;0),VLOOKUP(AH134,#REF!,2,FALSE)))))</f>
        <v/>
      </c>
      <c r="AJ134" s="217"/>
      <c r="AK134" s="218"/>
      <c r="AL134" s="220" t="str">
        <f t="shared" ref="AL134:AL197" ca="1" si="82">IF(AK134 = "", "", IF(AK134 + 180 &gt; TODAY(),"VIGENTE", "DESATUALIZADA"))</f>
        <v/>
      </c>
      <c r="AM134" s="229"/>
      <c r="AN134" s="231"/>
      <c r="AO134" s="206" t="str">
        <f>IF(AND(OR(AM134="",AM134=0),OR(AM134="",AN134=0)),"",IF(OR(AM134="",AM134=0),"DEFINIR PREÇO",IF(OR(AN134="",AN134=0),"DEFINIR FORNECEDOR",IF(OR(AM134&lt;&gt;"",AM134&lt;&gt;0),VLOOKUP(AN134,#REF!,2,FALSE)))))</f>
        <v/>
      </c>
      <c r="AP134" s="217"/>
      <c r="AQ134" s="218"/>
      <c r="AR134" s="220" t="str">
        <f t="shared" ref="AR134:AR197" ca="1" si="83">IF(AQ134 = "", "", IF(AQ134 + 180 &gt; TODAY(),"VIGENTE", "DESATUALIZADA"))</f>
        <v/>
      </c>
      <c r="AS134" s="229"/>
      <c r="AT134" s="231"/>
      <c r="AU134" s="194"/>
      <c r="AV134" s="217"/>
      <c r="AW134" s="218"/>
      <c r="AX134" s="220" t="str">
        <f t="shared" ref="AX134:AX197" ca="1" si="84">IF(AW134 = "", "", IF(AW134 + 180 &gt; TODAY(),"VIGENTE", "DESATUALIZADA"))</f>
        <v/>
      </c>
      <c r="AY134" s="195"/>
      <c r="AZ134" s="196"/>
      <c r="BA134" s="209" t="str">
        <f>IF(AND(OR(AY134="",AY134=0),OR(AY134="",AZ134=0)),"",IF(OR(AY134="",AY134=0),"DEFINIR PREÇO",IF(OR(AZ134="",AZ134=0),"DEFINIR FORNECEDOR",IF(OR(AY134&lt;&gt;"",AY134&lt;&gt;0),VLOOKUP(AZ134,#REF!,2,FALSE)))))</f>
        <v/>
      </c>
      <c r="BB134" s="194"/>
      <c r="BC134" s="194"/>
      <c r="BD134" s="220" t="str">
        <f t="shared" ref="BD134:BD197" ca="1" si="85">IF(BC134 = "", "", IF(BC134 + 180 &gt; TODAY(),"VIGENTE", "DESATUALIZADA"))</f>
        <v/>
      </c>
      <c r="BE134" s="195"/>
      <c r="BF134" s="196"/>
      <c r="BG134" s="194"/>
      <c r="BH134" s="194"/>
      <c r="BI134" s="194"/>
      <c r="BJ134" s="197"/>
    </row>
    <row r="135" spans="1:62" ht="25.5" x14ac:dyDescent="0.25">
      <c r="A135" s="44" t="s">
        <v>405</v>
      </c>
      <c r="B135" s="58" t="s">
        <v>328</v>
      </c>
      <c r="C135" s="45">
        <v>5</v>
      </c>
      <c r="D135" s="55" t="s">
        <v>282</v>
      </c>
      <c r="E135" s="45" t="s">
        <v>283</v>
      </c>
      <c r="F135" s="46">
        <v>1229.8800000000001</v>
      </c>
      <c r="G135" s="47">
        <v>1229.8800000000001</v>
      </c>
      <c r="H135" s="240" t="s">
        <v>2000</v>
      </c>
      <c r="I135" s="240" t="s">
        <v>2001</v>
      </c>
      <c r="J135" s="242">
        <f>IFERROR(IF(N135&lt;&gt;"",M135,IF(I135 = PARÂMETROS!$B$5,Q135, IF(I135 = PARÂMETROS!$B$6,R135,IF(I135 = PARÂMETROS!$B$7,S135,IF(I135 = PARÂMETROS!$B$8, T135,"DEFINIR CRITÉRIO"))))),"SEM PREÇO")</f>
        <v>1229.8800000000001</v>
      </c>
      <c r="K135" s="241">
        <f t="shared" si="74"/>
        <v>0</v>
      </c>
      <c r="L135" s="238" t="str">
        <f t="shared" si="75"/>
        <v/>
      </c>
      <c r="M135" s="46">
        <v>1229.8800000000001</v>
      </c>
      <c r="N135" s="52" t="s">
        <v>1047</v>
      </c>
      <c r="O135" s="53"/>
      <c r="P135" s="235">
        <f t="shared" si="76"/>
        <v>0</v>
      </c>
      <c r="Q135" s="236">
        <f t="shared" si="77"/>
        <v>0</v>
      </c>
      <c r="R135" s="236">
        <f t="shared" si="78"/>
        <v>0</v>
      </c>
      <c r="S135" s="236">
        <f t="shared" si="79"/>
        <v>0</v>
      </c>
      <c r="T135" s="236">
        <f t="shared" si="80"/>
        <v>0</v>
      </c>
      <c r="U135" s="237" t="str">
        <f>IF(AA135 = "", "", IF(OR($H135 = PARÂMETROS!$E$5, $H135 = ""), AA135, IF(OR(AA135 &lt; (1-VLOOKUP($H135,PARÂMETROS!$E:$F,2,FALSE))*$P135, AA135 &gt; (1+VLOOKUP($H135,PARÂMETROS!$E:$F,2,FALSE))*$P135),"",AA135)))</f>
        <v/>
      </c>
      <c r="V135" s="237" t="str">
        <f>IF(AG135 = "", "", IF(OR($H135 = PARÂMETROS!$E$5, $H135 = ""), AG135, IF(OR(AG135 &lt; (1-VLOOKUP($H135,PARÂMETROS!$E:$F,2,FALSE))*$P140, AG135 &gt; (1+VLOOKUP($H135,PARÂMETROS!$E:$F,2,FALSE))*$P135),"",AG135)))</f>
        <v/>
      </c>
      <c r="W135" s="237" t="str">
        <f>IF(AM135 = "", "", IF(OR($H135 = PARÂMETROS!$E$5, $H135 = ""), AM135, IF(OR(AM135 &lt; (1-VLOOKUP($H135,PARÂMETROS!$E:$F,2,FALSE))*$P135, AM135 &gt; (1+VLOOKUP($H135,PARÂMETROS!$E:$F,2,FALSE))*$P135),"",AM135)))</f>
        <v/>
      </c>
      <c r="X135" s="237" t="str">
        <f>IF(AS135 = "", "", IF(OR($H135 = PARÂMETROS!$E$5, $H135 = ""), AS135, IF(OR(AS135 &lt; (1-VLOOKUP($H135,PARÂMETROS!$E:$F,2,FALSE))*$P135, AS135 &gt; (1+VLOOKUP($H135,PARÂMETROS!$E:$F,2,FALSE))*$P135),"",AS135)))</f>
        <v/>
      </c>
      <c r="Y135" s="237" t="str">
        <f>IF(AY135 = "", "", IF(OR($H135 = PARÂMETROS!$E$5, $H135 = ""), AY135, IF(OR(AY135 &lt; (1-VLOOKUP($H135,PARÂMETROS!$E:$F,2,FALSE))*$P135, AY135 &gt; (1+VLOOKUP($H135,PARÂMETROS!$E:$F,2,FALSE))*$P135),"",AY135)))</f>
        <v/>
      </c>
      <c r="Z135" s="237" t="str">
        <f>IF(BE135 = "", "", IF(OR($H135 = PARÂMETROS!$E$5, $H135 = ""), BE135, IF(OR(BE135 &lt; (1-VLOOKUP($H135,PARÂMETROS!$E:$F,2,FALSE))*$P135, BE135 &gt; (1+VLOOKUP($H135,PARÂMETROS!$E:$F,2,FALSE))*$P135),"",BE135)))</f>
        <v/>
      </c>
      <c r="AA135" s="207"/>
      <c r="AB135" s="208"/>
      <c r="AC135" s="206" t="str">
        <f>IF(AND(OR(AA135="",AA135=0),OR(AA135="",AB135=0)),"",IF(OR(AA135="",AA135=0),"DEFINIR PREÇO",IF(OR(AB135="",AB135=0),"DEFINIR FORNECEDOR",IF(OR(AA135&lt;&gt;"",AA135&lt;&gt;0),VLOOKUP(AB135,#REF!,2,FALSE)))))</f>
        <v/>
      </c>
      <c r="AD135" s="217"/>
      <c r="AE135" s="218"/>
      <c r="AF135" s="220" t="str">
        <f t="shared" ca="1" si="81"/>
        <v/>
      </c>
      <c r="AG135" s="229"/>
      <c r="AH135" s="231"/>
      <c r="AI135" s="206" t="str">
        <f>IF(AND(OR(AG135="",AG135=0),OR(AG135="",AH135=0)),"",IF(OR(AG135="",AG135=0),"DEFINIR PREÇO",IF(OR(AH135="",AH135=0),"DEFINIR FORNECEDOR",IF(OR(AG135&lt;&gt;"",AG135&lt;&gt;0),VLOOKUP(AH135,#REF!,2,FALSE)))))</f>
        <v/>
      </c>
      <c r="AJ135" s="217"/>
      <c r="AK135" s="218"/>
      <c r="AL135" s="220" t="str">
        <f t="shared" ca="1" si="82"/>
        <v/>
      </c>
      <c r="AM135" s="229"/>
      <c r="AN135" s="231"/>
      <c r="AO135" s="206" t="str">
        <f>IF(AND(OR(AM135="",AM135=0),OR(AM135="",AN135=0)),"",IF(OR(AM135="",AM135=0),"DEFINIR PREÇO",IF(OR(AN135="",AN135=0),"DEFINIR FORNECEDOR",IF(OR(AM135&lt;&gt;"",AM135&lt;&gt;0),VLOOKUP(AN135,#REF!,2,FALSE)))))</f>
        <v/>
      </c>
      <c r="AP135" s="217"/>
      <c r="AQ135" s="218"/>
      <c r="AR135" s="220" t="str">
        <f t="shared" ca="1" si="83"/>
        <v/>
      </c>
      <c r="AS135" s="229"/>
      <c r="AT135" s="231"/>
      <c r="AU135" s="194"/>
      <c r="AV135" s="217"/>
      <c r="AW135" s="218"/>
      <c r="AX135" s="220" t="str">
        <f t="shared" ca="1" si="84"/>
        <v/>
      </c>
      <c r="AY135" s="195"/>
      <c r="AZ135" s="196"/>
      <c r="BA135" s="209" t="str">
        <f>IF(AND(OR(AY135="",AY135=0),OR(AY135="",AZ135=0)),"",IF(OR(AY135="",AY135=0),"DEFINIR PREÇO",IF(OR(AZ135="",AZ135=0),"DEFINIR FORNECEDOR",IF(OR(AY135&lt;&gt;"",AY135&lt;&gt;0),VLOOKUP(AZ135,#REF!,2,FALSE)))))</f>
        <v/>
      </c>
      <c r="BB135" s="194"/>
      <c r="BC135" s="194"/>
      <c r="BD135" s="220" t="str">
        <f t="shared" ca="1" si="85"/>
        <v/>
      </c>
      <c r="BE135" s="195"/>
      <c r="BF135" s="196"/>
      <c r="BG135" s="194"/>
      <c r="BH135" s="194"/>
      <c r="BI135" s="194"/>
      <c r="BJ135" s="197"/>
    </row>
    <row r="136" spans="1:62" ht="25.5" x14ac:dyDescent="0.25">
      <c r="A136" s="44" t="s">
        <v>405</v>
      </c>
      <c r="B136" s="58" t="s">
        <v>329</v>
      </c>
      <c r="C136" s="45">
        <v>5</v>
      </c>
      <c r="D136" s="55" t="s">
        <v>284</v>
      </c>
      <c r="E136" s="45" t="s">
        <v>283</v>
      </c>
      <c r="F136" s="46">
        <v>313.94</v>
      </c>
      <c r="G136" s="47">
        <v>313.94</v>
      </c>
      <c r="H136" s="240" t="s">
        <v>2000</v>
      </c>
      <c r="I136" s="240" t="s">
        <v>2001</v>
      </c>
      <c r="J136" s="242">
        <f>IFERROR(IF(N136&lt;&gt;"",M136,IF(I136 = PARÂMETROS!$B$5,Q136, IF(I136 = PARÂMETROS!$B$6,R136,IF(I136 = PARÂMETROS!$B$7,S136,IF(I136 = PARÂMETROS!$B$8, T136,"DEFINIR CRITÉRIO"))))),"SEM PREÇO")</f>
        <v>313.94</v>
      </c>
      <c r="K136" s="241">
        <f t="shared" si="74"/>
        <v>0</v>
      </c>
      <c r="L136" s="238" t="str">
        <f t="shared" si="75"/>
        <v/>
      </c>
      <c r="M136" s="46">
        <v>313.94</v>
      </c>
      <c r="N136" s="52" t="s">
        <v>1047</v>
      </c>
      <c r="O136" s="53"/>
      <c r="P136" s="235">
        <f t="shared" si="76"/>
        <v>0</v>
      </c>
      <c r="Q136" s="236">
        <f t="shared" si="77"/>
        <v>0</v>
      </c>
      <c r="R136" s="236">
        <f t="shared" si="78"/>
        <v>0</v>
      </c>
      <c r="S136" s="236">
        <f t="shared" si="79"/>
        <v>0</v>
      </c>
      <c r="T136" s="236">
        <f t="shared" si="80"/>
        <v>0</v>
      </c>
      <c r="U136" s="237" t="str">
        <f>IF(AA136 = "", "", IF(OR($H136 = PARÂMETROS!$E$5, $H136 = ""), AA136, IF(OR(AA136 &lt; (1-VLOOKUP($H136,PARÂMETROS!$E:$F,2,FALSE))*$P136, AA136 &gt; (1+VLOOKUP($H136,PARÂMETROS!$E:$F,2,FALSE))*$P136),"",AA136)))</f>
        <v/>
      </c>
      <c r="V136" s="237" t="str">
        <f>IF(AG136 = "", "", IF(OR($H136 = PARÂMETROS!$E$5, $H136 = ""), AG136, IF(OR(AG136 &lt; (1-VLOOKUP($H136,PARÂMETROS!$E:$F,2,FALSE))*$P141, AG136 &gt; (1+VLOOKUP($H136,PARÂMETROS!$E:$F,2,FALSE))*$P136),"",AG136)))</f>
        <v/>
      </c>
      <c r="W136" s="237" t="str">
        <f>IF(AM136 = "", "", IF(OR($H136 = PARÂMETROS!$E$5, $H136 = ""), AM136, IF(OR(AM136 &lt; (1-VLOOKUP($H136,PARÂMETROS!$E:$F,2,FALSE))*$P136, AM136 &gt; (1+VLOOKUP($H136,PARÂMETROS!$E:$F,2,FALSE))*$P136),"",AM136)))</f>
        <v/>
      </c>
      <c r="X136" s="237" t="str">
        <f>IF(AS136 = "", "", IF(OR($H136 = PARÂMETROS!$E$5, $H136 = ""), AS136, IF(OR(AS136 &lt; (1-VLOOKUP($H136,PARÂMETROS!$E:$F,2,FALSE))*$P136, AS136 &gt; (1+VLOOKUP($H136,PARÂMETROS!$E:$F,2,FALSE))*$P136),"",AS136)))</f>
        <v/>
      </c>
      <c r="Y136" s="237" t="str">
        <f>IF(AY136 = "", "", IF(OR($H136 = PARÂMETROS!$E$5, $H136 = ""), AY136, IF(OR(AY136 &lt; (1-VLOOKUP($H136,PARÂMETROS!$E:$F,2,FALSE))*$P136, AY136 &gt; (1+VLOOKUP($H136,PARÂMETROS!$E:$F,2,FALSE))*$P136),"",AY136)))</f>
        <v/>
      </c>
      <c r="Z136" s="237" t="str">
        <f>IF(BE136 = "", "", IF(OR($H136 = PARÂMETROS!$E$5, $H136 = ""), BE136, IF(OR(BE136 &lt; (1-VLOOKUP($H136,PARÂMETROS!$E:$F,2,FALSE))*$P136, BE136 &gt; (1+VLOOKUP($H136,PARÂMETROS!$E:$F,2,FALSE))*$P136),"",BE136)))</f>
        <v/>
      </c>
      <c r="AA136" s="207"/>
      <c r="AB136" s="208"/>
      <c r="AC136" s="206" t="str">
        <f>IF(AND(OR(AA136="",AA136=0),OR(AA136="",AB136=0)),"",IF(OR(AA136="",AA136=0),"DEFINIR PREÇO",IF(OR(AB136="",AB136=0),"DEFINIR FORNECEDOR",IF(OR(AA136&lt;&gt;"",AA136&lt;&gt;0),VLOOKUP(AB136,#REF!,2,FALSE)))))</f>
        <v/>
      </c>
      <c r="AD136" s="217"/>
      <c r="AE136" s="218"/>
      <c r="AF136" s="220" t="str">
        <f t="shared" ca="1" si="81"/>
        <v/>
      </c>
      <c r="AG136" s="229"/>
      <c r="AH136" s="231"/>
      <c r="AI136" s="206" t="str">
        <f>IF(AND(OR(AG136="",AG136=0),OR(AG136="",AH136=0)),"",IF(OR(AG136="",AG136=0),"DEFINIR PREÇO",IF(OR(AH136="",AH136=0),"DEFINIR FORNECEDOR",IF(OR(AG136&lt;&gt;"",AG136&lt;&gt;0),VLOOKUP(AH136,#REF!,2,FALSE)))))</f>
        <v/>
      </c>
      <c r="AJ136" s="217"/>
      <c r="AK136" s="218"/>
      <c r="AL136" s="220" t="str">
        <f t="shared" ca="1" si="82"/>
        <v/>
      </c>
      <c r="AM136" s="229"/>
      <c r="AN136" s="231"/>
      <c r="AO136" s="206" t="str">
        <f>IF(AND(OR(AM136="",AM136=0),OR(AM136="",AN136=0)),"",IF(OR(AM136="",AM136=0),"DEFINIR PREÇO",IF(OR(AN136="",AN136=0),"DEFINIR FORNECEDOR",IF(OR(AM136&lt;&gt;"",AM136&lt;&gt;0),VLOOKUP(AN136,#REF!,2,FALSE)))))</f>
        <v/>
      </c>
      <c r="AP136" s="217"/>
      <c r="AQ136" s="218"/>
      <c r="AR136" s="220" t="str">
        <f t="shared" ca="1" si="83"/>
        <v/>
      </c>
      <c r="AS136" s="229"/>
      <c r="AT136" s="231"/>
      <c r="AU136" s="194"/>
      <c r="AV136" s="217"/>
      <c r="AW136" s="218"/>
      <c r="AX136" s="220" t="str">
        <f t="shared" ca="1" si="84"/>
        <v/>
      </c>
      <c r="AY136" s="195"/>
      <c r="AZ136" s="196"/>
      <c r="BA136" s="209" t="str">
        <f>IF(AND(OR(AY136="",AY136=0),OR(AY136="",AZ136=0)),"",IF(OR(AY136="",AY136=0),"DEFINIR PREÇO",IF(OR(AZ136="",AZ136=0),"DEFINIR FORNECEDOR",IF(OR(AY136&lt;&gt;"",AY136&lt;&gt;0),VLOOKUP(AZ136,#REF!,2,FALSE)))))</f>
        <v/>
      </c>
      <c r="BB136" s="194"/>
      <c r="BC136" s="194"/>
      <c r="BD136" s="220" t="str">
        <f t="shared" ca="1" si="85"/>
        <v/>
      </c>
      <c r="BE136" s="195"/>
      <c r="BF136" s="196"/>
      <c r="BG136" s="194"/>
      <c r="BH136" s="194"/>
      <c r="BI136" s="194"/>
      <c r="BJ136" s="197"/>
    </row>
    <row r="137" spans="1:62" ht="25.5" x14ac:dyDescent="0.25">
      <c r="A137" s="44" t="s">
        <v>405</v>
      </c>
      <c r="B137" s="58" t="s">
        <v>330</v>
      </c>
      <c r="C137" s="45">
        <v>5</v>
      </c>
      <c r="D137" s="55" t="s">
        <v>285</v>
      </c>
      <c r="E137" s="45" t="s">
        <v>34</v>
      </c>
      <c r="F137" s="46">
        <v>1535.09</v>
      </c>
      <c r="G137" s="47">
        <v>1535.09</v>
      </c>
      <c r="H137" s="240" t="s">
        <v>2000</v>
      </c>
      <c r="I137" s="240" t="s">
        <v>2001</v>
      </c>
      <c r="J137" s="242">
        <f>IFERROR(IF(N137&lt;&gt;"",M137,IF(I137 = PARÂMETROS!$B$5,Q137, IF(I137 = PARÂMETROS!$B$6,R137,IF(I137 = PARÂMETROS!$B$7,S137,IF(I137 = PARÂMETROS!$B$8, T137,"DEFINIR CRITÉRIO"))))),"SEM PREÇO")</f>
        <v>1535.09</v>
      </c>
      <c r="K137" s="241">
        <f t="shared" si="74"/>
        <v>0</v>
      </c>
      <c r="L137" s="238" t="str">
        <f t="shared" si="75"/>
        <v/>
      </c>
      <c r="M137" s="46">
        <v>1535.09</v>
      </c>
      <c r="N137" s="52" t="s">
        <v>1047</v>
      </c>
      <c r="O137" s="53"/>
      <c r="P137" s="235">
        <f t="shared" si="76"/>
        <v>0</v>
      </c>
      <c r="Q137" s="236">
        <f t="shared" si="77"/>
        <v>0</v>
      </c>
      <c r="R137" s="236">
        <f t="shared" si="78"/>
        <v>0</v>
      </c>
      <c r="S137" s="236">
        <f t="shared" si="79"/>
        <v>0</v>
      </c>
      <c r="T137" s="236">
        <f t="shared" si="80"/>
        <v>0</v>
      </c>
      <c r="U137" s="237" t="str">
        <f>IF(AA137 = "", "", IF(OR($H137 = PARÂMETROS!$E$5, $H137 = ""), AA137, IF(OR(AA137 &lt; (1-VLOOKUP($H137,PARÂMETROS!$E:$F,2,FALSE))*$P137, AA137 &gt; (1+VLOOKUP($H137,PARÂMETROS!$E:$F,2,FALSE))*$P137),"",AA137)))</f>
        <v/>
      </c>
      <c r="V137" s="237" t="str">
        <f>IF(AG137 = "", "", IF(OR($H137 = PARÂMETROS!$E$5, $H137 = ""), AG137, IF(OR(AG137 &lt; (1-VLOOKUP($H137,PARÂMETROS!$E:$F,2,FALSE))*$P142, AG137 &gt; (1+VLOOKUP($H137,PARÂMETROS!$E:$F,2,FALSE))*$P137),"",AG137)))</f>
        <v/>
      </c>
      <c r="W137" s="237" t="str">
        <f>IF(AM137 = "", "", IF(OR($H137 = PARÂMETROS!$E$5, $H137 = ""), AM137, IF(OR(AM137 &lt; (1-VLOOKUP($H137,PARÂMETROS!$E:$F,2,FALSE))*$P137, AM137 &gt; (1+VLOOKUP($H137,PARÂMETROS!$E:$F,2,FALSE))*$P137),"",AM137)))</f>
        <v/>
      </c>
      <c r="X137" s="237" t="str">
        <f>IF(AS137 = "", "", IF(OR($H137 = PARÂMETROS!$E$5, $H137 = ""), AS137, IF(OR(AS137 &lt; (1-VLOOKUP($H137,PARÂMETROS!$E:$F,2,FALSE))*$P137, AS137 &gt; (1+VLOOKUP($H137,PARÂMETROS!$E:$F,2,FALSE))*$P137),"",AS137)))</f>
        <v/>
      </c>
      <c r="Y137" s="237" t="str">
        <f>IF(AY137 = "", "", IF(OR($H137 = PARÂMETROS!$E$5, $H137 = ""), AY137, IF(OR(AY137 &lt; (1-VLOOKUP($H137,PARÂMETROS!$E:$F,2,FALSE))*$P137, AY137 &gt; (1+VLOOKUP($H137,PARÂMETROS!$E:$F,2,FALSE))*$P137),"",AY137)))</f>
        <v/>
      </c>
      <c r="Z137" s="237" t="str">
        <f>IF(BE137 = "", "", IF(OR($H137 = PARÂMETROS!$E$5, $H137 = ""), BE137, IF(OR(BE137 &lt; (1-VLOOKUP($H137,PARÂMETROS!$E:$F,2,FALSE))*$P137, BE137 &gt; (1+VLOOKUP($H137,PARÂMETROS!$E:$F,2,FALSE))*$P137),"",BE137)))</f>
        <v/>
      </c>
      <c r="AA137" s="207"/>
      <c r="AB137" s="208"/>
      <c r="AC137" s="206" t="str">
        <f>IF(AND(OR(AA137="",AA137=0),OR(AA137="",AB137=0)),"",IF(OR(AA137="",AA137=0),"DEFINIR PREÇO",IF(OR(AB137="",AB137=0),"DEFINIR FORNECEDOR",IF(OR(AA137&lt;&gt;"",AA137&lt;&gt;0),VLOOKUP(AB137,#REF!,2,FALSE)))))</f>
        <v/>
      </c>
      <c r="AD137" s="217"/>
      <c r="AE137" s="218"/>
      <c r="AF137" s="220" t="str">
        <f t="shared" ca="1" si="81"/>
        <v/>
      </c>
      <c r="AG137" s="229"/>
      <c r="AH137" s="231"/>
      <c r="AI137" s="206" t="str">
        <f>IF(AND(OR(AG137="",AG137=0),OR(AG137="",AH137=0)),"",IF(OR(AG137="",AG137=0),"DEFINIR PREÇO",IF(OR(AH137="",AH137=0),"DEFINIR FORNECEDOR",IF(OR(AG137&lt;&gt;"",AG137&lt;&gt;0),VLOOKUP(AH137,#REF!,2,FALSE)))))</f>
        <v/>
      </c>
      <c r="AJ137" s="217"/>
      <c r="AK137" s="218"/>
      <c r="AL137" s="220" t="str">
        <f t="shared" ca="1" si="82"/>
        <v/>
      </c>
      <c r="AM137" s="229"/>
      <c r="AN137" s="231"/>
      <c r="AO137" s="206" t="str">
        <f>IF(AND(OR(AM137="",AM137=0),OR(AM137="",AN137=0)),"",IF(OR(AM137="",AM137=0),"DEFINIR PREÇO",IF(OR(AN137="",AN137=0),"DEFINIR FORNECEDOR",IF(OR(AM137&lt;&gt;"",AM137&lt;&gt;0),VLOOKUP(AN137,#REF!,2,FALSE)))))</f>
        <v/>
      </c>
      <c r="AP137" s="217"/>
      <c r="AQ137" s="218"/>
      <c r="AR137" s="220" t="str">
        <f t="shared" ca="1" si="83"/>
        <v/>
      </c>
      <c r="AS137" s="229"/>
      <c r="AT137" s="231"/>
      <c r="AU137" s="194"/>
      <c r="AV137" s="217"/>
      <c r="AW137" s="218"/>
      <c r="AX137" s="220" t="str">
        <f t="shared" ca="1" si="84"/>
        <v/>
      </c>
      <c r="AY137" s="195"/>
      <c r="AZ137" s="196"/>
      <c r="BA137" s="209" t="str">
        <f>IF(AND(OR(AY137="",AY137=0),OR(AY137="",AZ137=0)),"",IF(OR(AY137="",AY137=0),"DEFINIR PREÇO",IF(OR(AZ137="",AZ137=0),"DEFINIR FORNECEDOR",IF(OR(AY137&lt;&gt;"",AY137&lt;&gt;0),VLOOKUP(AZ137,#REF!,2,FALSE)))))</f>
        <v/>
      </c>
      <c r="BB137" s="194"/>
      <c r="BC137" s="194"/>
      <c r="BD137" s="220" t="str">
        <f t="shared" ca="1" si="85"/>
        <v/>
      </c>
      <c r="BE137" s="195"/>
      <c r="BF137" s="196"/>
      <c r="BG137" s="194"/>
      <c r="BH137" s="194"/>
      <c r="BI137" s="194"/>
      <c r="BJ137" s="197"/>
    </row>
    <row r="138" spans="1:62" ht="25.5" x14ac:dyDescent="0.25">
      <c r="A138" s="44" t="s">
        <v>405</v>
      </c>
      <c r="B138" s="58" t="s">
        <v>331</v>
      </c>
      <c r="C138" s="45">
        <v>5</v>
      </c>
      <c r="D138" s="55" t="s">
        <v>286</v>
      </c>
      <c r="E138" s="45" t="s">
        <v>287</v>
      </c>
      <c r="F138" s="46">
        <v>70.69</v>
      </c>
      <c r="G138" s="47">
        <v>70.69</v>
      </c>
      <c r="H138" s="240" t="s">
        <v>2000</v>
      </c>
      <c r="I138" s="240" t="s">
        <v>2001</v>
      </c>
      <c r="J138" s="242">
        <f>IFERROR(IF(N138&lt;&gt;"",M138,IF(I138 = PARÂMETROS!$B$5,Q138, IF(I138 = PARÂMETROS!$B$6,R138,IF(I138 = PARÂMETROS!$B$7,S138,IF(I138 = PARÂMETROS!$B$8, T138,"DEFINIR CRITÉRIO"))))),"SEM PREÇO")</f>
        <v>70.69</v>
      </c>
      <c r="K138" s="241">
        <f t="shared" si="74"/>
        <v>0</v>
      </c>
      <c r="L138" s="238" t="str">
        <f t="shared" si="75"/>
        <v/>
      </c>
      <c r="M138" s="46">
        <v>70.69</v>
      </c>
      <c r="N138" s="52" t="s">
        <v>1047</v>
      </c>
      <c r="O138" s="53"/>
      <c r="P138" s="235">
        <f t="shared" si="76"/>
        <v>0</v>
      </c>
      <c r="Q138" s="236">
        <f t="shared" si="77"/>
        <v>0</v>
      </c>
      <c r="R138" s="236">
        <f t="shared" si="78"/>
        <v>0</v>
      </c>
      <c r="S138" s="236">
        <f t="shared" si="79"/>
        <v>0</v>
      </c>
      <c r="T138" s="236">
        <f t="shared" si="80"/>
        <v>0</v>
      </c>
      <c r="U138" s="237" t="str">
        <f>IF(AA138 = "", "", IF(OR($H138 = PARÂMETROS!$E$5, $H138 = ""), AA138, IF(OR(AA138 &lt; (1-VLOOKUP($H138,PARÂMETROS!$E:$F,2,FALSE))*$P138, AA138 &gt; (1+VLOOKUP($H138,PARÂMETROS!$E:$F,2,FALSE))*$P138),"",AA138)))</f>
        <v/>
      </c>
      <c r="V138" s="237" t="str">
        <f>IF(AG138 = "", "", IF(OR($H138 = PARÂMETROS!$E$5, $H138 = ""), AG138, IF(OR(AG138 &lt; (1-VLOOKUP($H138,PARÂMETROS!$E:$F,2,FALSE))*$P143, AG138 &gt; (1+VLOOKUP($H138,PARÂMETROS!$E:$F,2,FALSE))*$P138),"",AG138)))</f>
        <v/>
      </c>
      <c r="W138" s="237" t="str">
        <f>IF(AM138 = "", "", IF(OR($H138 = PARÂMETROS!$E$5, $H138 = ""), AM138, IF(OR(AM138 &lt; (1-VLOOKUP($H138,PARÂMETROS!$E:$F,2,FALSE))*$P138, AM138 &gt; (1+VLOOKUP($H138,PARÂMETROS!$E:$F,2,FALSE))*$P138),"",AM138)))</f>
        <v/>
      </c>
      <c r="X138" s="237" t="str">
        <f>IF(AS138 = "", "", IF(OR($H138 = PARÂMETROS!$E$5, $H138 = ""), AS138, IF(OR(AS138 &lt; (1-VLOOKUP($H138,PARÂMETROS!$E:$F,2,FALSE))*$P138, AS138 &gt; (1+VLOOKUP($H138,PARÂMETROS!$E:$F,2,FALSE))*$P138),"",AS138)))</f>
        <v/>
      </c>
      <c r="Y138" s="237" t="str">
        <f>IF(AY138 = "", "", IF(OR($H138 = PARÂMETROS!$E$5, $H138 = ""), AY138, IF(OR(AY138 &lt; (1-VLOOKUP($H138,PARÂMETROS!$E:$F,2,FALSE))*$P138, AY138 &gt; (1+VLOOKUP($H138,PARÂMETROS!$E:$F,2,FALSE))*$P138),"",AY138)))</f>
        <v/>
      </c>
      <c r="Z138" s="237" t="str">
        <f>IF(BE138 = "", "", IF(OR($H138 = PARÂMETROS!$E$5, $H138 = ""), BE138, IF(OR(BE138 &lt; (1-VLOOKUP($H138,PARÂMETROS!$E:$F,2,FALSE))*$P138, BE138 &gt; (1+VLOOKUP($H138,PARÂMETROS!$E:$F,2,FALSE))*$P138),"",BE138)))</f>
        <v/>
      </c>
      <c r="AA138" s="207"/>
      <c r="AB138" s="208"/>
      <c r="AC138" s="206" t="str">
        <f>IF(AND(OR(AA138="",AA138=0),OR(AA138="",AB138=0)),"",IF(OR(AA138="",AA138=0),"DEFINIR PREÇO",IF(OR(AB138="",AB138=0),"DEFINIR FORNECEDOR",IF(OR(AA138&lt;&gt;"",AA138&lt;&gt;0),VLOOKUP(AB138,#REF!,2,FALSE)))))</f>
        <v/>
      </c>
      <c r="AD138" s="217"/>
      <c r="AE138" s="218"/>
      <c r="AF138" s="220" t="str">
        <f t="shared" ca="1" si="81"/>
        <v/>
      </c>
      <c r="AG138" s="229"/>
      <c r="AH138" s="231"/>
      <c r="AI138" s="206" t="str">
        <f>IF(AND(OR(AG138="",AG138=0),OR(AG138="",AH138=0)),"",IF(OR(AG138="",AG138=0),"DEFINIR PREÇO",IF(OR(AH138="",AH138=0),"DEFINIR FORNECEDOR",IF(OR(AG138&lt;&gt;"",AG138&lt;&gt;0),VLOOKUP(AH138,#REF!,2,FALSE)))))</f>
        <v/>
      </c>
      <c r="AJ138" s="217"/>
      <c r="AK138" s="218"/>
      <c r="AL138" s="220" t="str">
        <f t="shared" ca="1" si="82"/>
        <v/>
      </c>
      <c r="AM138" s="229"/>
      <c r="AN138" s="231"/>
      <c r="AO138" s="206" t="str">
        <f>IF(AND(OR(AM138="",AM138=0),OR(AM138="",AN138=0)),"",IF(OR(AM138="",AM138=0),"DEFINIR PREÇO",IF(OR(AN138="",AN138=0),"DEFINIR FORNECEDOR",IF(OR(AM138&lt;&gt;"",AM138&lt;&gt;0),VLOOKUP(AN138,#REF!,2,FALSE)))))</f>
        <v/>
      </c>
      <c r="AP138" s="217"/>
      <c r="AQ138" s="218"/>
      <c r="AR138" s="220" t="str">
        <f t="shared" ca="1" si="83"/>
        <v/>
      </c>
      <c r="AS138" s="229"/>
      <c r="AT138" s="231"/>
      <c r="AU138" s="194"/>
      <c r="AV138" s="217"/>
      <c r="AW138" s="218"/>
      <c r="AX138" s="220" t="str">
        <f t="shared" ca="1" si="84"/>
        <v/>
      </c>
      <c r="AY138" s="195"/>
      <c r="AZ138" s="196"/>
      <c r="BA138" s="209" t="str">
        <f>IF(AND(OR(AY138="",AY138=0),OR(AY138="",AZ138=0)),"",IF(OR(AY138="",AY138=0),"DEFINIR PREÇO",IF(OR(AZ138="",AZ138=0),"DEFINIR FORNECEDOR",IF(OR(AY138&lt;&gt;"",AY138&lt;&gt;0),VLOOKUP(AZ138,#REF!,2,FALSE)))))</f>
        <v/>
      </c>
      <c r="BB138" s="194"/>
      <c r="BC138" s="194"/>
      <c r="BD138" s="220" t="str">
        <f t="shared" ca="1" si="85"/>
        <v/>
      </c>
      <c r="BE138" s="195"/>
      <c r="BF138" s="196"/>
      <c r="BG138" s="194"/>
      <c r="BH138" s="194"/>
      <c r="BI138" s="194"/>
      <c r="BJ138" s="197"/>
    </row>
    <row r="139" spans="1:62" ht="25.5" x14ac:dyDescent="0.25">
      <c r="A139" s="44" t="s">
        <v>405</v>
      </c>
      <c r="B139" s="58" t="s">
        <v>332</v>
      </c>
      <c r="C139" s="45">
        <v>5</v>
      </c>
      <c r="D139" s="55" t="s">
        <v>288</v>
      </c>
      <c r="E139" s="45" t="s">
        <v>21</v>
      </c>
      <c r="F139" s="46">
        <v>496.24</v>
      </c>
      <c r="G139" s="47">
        <v>496.24</v>
      </c>
      <c r="H139" s="240" t="s">
        <v>2000</v>
      </c>
      <c r="I139" s="240" t="s">
        <v>2001</v>
      </c>
      <c r="J139" s="242">
        <f>IFERROR(IF(N139&lt;&gt;"",M139,IF(I139 = PARÂMETROS!$B$5,Q139, IF(I139 = PARÂMETROS!$B$6,R139,IF(I139 = PARÂMETROS!$B$7,S139,IF(I139 = PARÂMETROS!$B$8, T139,"DEFINIR CRITÉRIO"))))),"SEM PREÇO")</f>
        <v>496.24</v>
      </c>
      <c r="K139" s="241">
        <f t="shared" si="74"/>
        <v>0</v>
      </c>
      <c r="L139" s="238" t="str">
        <f t="shared" si="75"/>
        <v/>
      </c>
      <c r="M139" s="46">
        <v>496.24</v>
      </c>
      <c r="N139" s="52" t="s">
        <v>1047</v>
      </c>
      <c r="O139" s="53"/>
      <c r="P139" s="235">
        <f t="shared" si="76"/>
        <v>0</v>
      </c>
      <c r="Q139" s="236">
        <f t="shared" si="77"/>
        <v>0</v>
      </c>
      <c r="R139" s="236">
        <f t="shared" si="78"/>
        <v>0</v>
      </c>
      <c r="S139" s="236">
        <f t="shared" si="79"/>
        <v>0</v>
      </c>
      <c r="T139" s="236">
        <f t="shared" si="80"/>
        <v>0</v>
      </c>
      <c r="U139" s="237" t="str">
        <f>IF(AA139 = "", "", IF(OR($H139 = PARÂMETROS!$E$5, $H139 = ""), AA139, IF(OR(AA139 &lt; (1-VLOOKUP($H139,PARÂMETROS!$E:$F,2,FALSE))*$P139, AA139 &gt; (1+VLOOKUP($H139,PARÂMETROS!$E:$F,2,FALSE))*$P139),"",AA139)))</f>
        <v/>
      </c>
      <c r="V139" s="237" t="str">
        <f>IF(AG139 = "", "", IF(OR($H139 = PARÂMETROS!$E$5, $H139 = ""), AG139, IF(OR(AG139 &lt; (1-VLOOKUP($H139,PARÂMETROS!$E:$F,2,FALSE))*$P144, AG139 &gt; (1+VLOOKUP($H139,PARÂMETROS!$E:$F,2,FALSE))*$P139),"",AG139)))</f>
        <v/>
      </c>
      <c r="W139" s="237" t="str">
        <f>IF(AM139 = "", "", IF(OR($H139 = PARÂMETROS!$E$5, $H139 = ""), AM139, IF(OR(AM139 &lt; (1-VLOOKUP($H139,PARÂMETROS!$E:$F,2,FALSE))*$P139, AM139 &gt; (1+VLOOKUP($H139,PARÂMETROS!$E:$F,2,FALSE))*$P139),"",AM139)))</f>
        <v/>
      </c>
      <c r="X139" s="237" t="str">
        <f>IF(AS139 = "", "", IF(OR($H139 = PARÂMETROS!$E$5, $H139 = ""), AS139, IF(OR(AS139 &lt; (1-VLOOKUP($H139,PARÂMETROS!$E:$F,2,FALSE))*$P139, AS139 &gt; (1+VLOOKUP($H139,PARÂMETROS!$E:$F,2,FALSE))*$P139),"",AS139)))</f>
        <v/>
      </c>
      <c r="Y139" s="237" t="str">
        <f>IF(AY139 = "", "", IF(OR($H139 = PARÂMETROS!$E$5, $H139 = ""), AY139, IF(OR(AY139 &lt; (1-VLOOKUP($H139,PARÂMETROS!$E:$F,2,FALSE))*$P139, AY139 &gt; (1+VLOOKUP($H139,PARÂMETROS!$E:$F,2,FALSE))*$P139),"",AY139)))</f>
        <v/>
      </c>
      <c r="Z139" s="237" t="str">
        <f>IF(BE139 = "", "", IF(OR($H139 = PARÂMETROS!$E$5, $H139 = ""), BE139, IF(OR(BE139 &lt; (1-VLOOKUP($H139,PARÂMETROS!$E:$F,2,FALSE))*$P139, BE139 &gt; (1+VLOOKUP($H139,PARÂMETROS!$E:$F,2,FALSE))*$P139),"",BE139)))</f>
        <v/>
      </c>
      <c r="AA139" s="207"/>
      <c r="AB139" s="208"/>
      <c r="AC139" s="206" t="str">
        <f>IF(AND(OR(AA139="",AA139=0),OR(AA139="",AB139=0)),"",IF(OR(AA139="",AA139=0),"DEFINIR PREÇO",IF(OR(AB139="",AB139=0),"DEFINIR FORNECEDOR",IF(OR(AA139&lt;&gt;"",AA139&lt;&gt;0),VLOOKUP(AB139,#REF!,2,FALSE)))))</f>
        <v/>
      </c>
      <c r="AD139" s="217"/>
      <c r="AE139" s="218"/>
      <c r="AF139" s="220" t="str">
        <f t="shared" ca="1" si="81"/>
        <v/>
      </c>
      <c r="AG139" s="229"/>
      <c r="AH139" s="231"/>
      <c r="AI139" s="206" t="str">
        <f>IF(AND(OR(AG139="",AG139=0),OR(AG139="",AH139=0)),"",IF(OR(AG139="",AG139=0),"DEFINIR PREÇO",IF(OR(AH139="",AH139=0),"DEFINIR FORNECEDOR",IF(OR(AG139&lt;&gt;"",AG139&lt;&gt;0),VLOOKUP(AH139,#REF!,2,FALSE)))))</f>
        <v/>
      </c>
      <c r="AJ139" s="217"/>
      <c r="AK139" s="218"/>
      <c r="AL139" s="220" t="str">
        <f t="shared" ca="1" si="82"/>
        <v/>
      </c>
      <c r="AM139" s="229"/>
      <c r="AN139" s="231"/>
      <c r="AO139" s="206" t="str">
        <f>IF(AND(OR(AM139="",AM139=0),OR(AM139="",AN139=0)),"",IF(OR(AM139="",AM139=0),"DEFINIR PREÇO",IF(OR(AN139="",AN139=0),"DEFINIR FORNECEDOR",IF(OR(AM139&lt;&gt;"",AM139&lt;&gt;0),VLOOKUP(AN139,#REF!,2,FALSE)))))</f>
        <v/>
      </c>
      <c r="AP139" s="217"/>
      <c r="AQ139" s="218"/>
      <c r="AR139" s="220" t="str">
        <f t="shared" ca="1" si="83"/>
        <v/>
      </c>
      <c r="AS139" s="229"/>
      <c r="AT139" s="231"/>
      <c r="AU139" s="194"/>
      <c r="AV139" s="217"/>
      <c r="AW139" s="218"/>
      <c r="AX139" s="220" t="str">
        <f t="shared" ca="1" si="84"/>
        <v/>
      </c>
      <c r="AY139" s="195"/>
      <c r="AZ139" s="196"/>
      <c r="BA139" s="209" t="str">
        <f>IF(AND(OR(AY139="",AY139=0),OR(AY139="",AZ139=0)),"",IF(OR(AY139="",AY139=0),"DEFINIR PREÇO",IF(OR(AZ139="",AZ139=0),"DEFINIR FORNECEDOR",IF(OR(AY139&lt;&gt;"",AY139&lt;&gt;0),VLOOKUP(AZ139,#REF!,2,FALSE)))))</f>
        <v/>
      </c>
      <c r="BB139" s="194"/>
      <c r="BC139" s="194"/>
      <c r="BD139" s="220" t="str">
        <f t="shared" ca="1" si="85"/>
        <v/>
      </c>
      <c r="BE139" s="195"/>
      <c r="BF139" s="196"/>
      <c r="BG139" s="194"/>
      <c r="BH139" s="194"/>
      <c r="BI139" s="194"/>
      <c r="BJ139" s="197"/>
    </row>
    <row r="140" spans="1:62" ht="39.75" customHeight="1" x14ac:dyDescent="0.25">
      <c r="A140" s="44" t="s">
        <v>405</v>
      </c>
      <c r="B140" s="58" t="s">
        <v>333</v>
      </c>
      <c r="C140" s="45">
        <v>5</v>
      </c>
      <c r="D140" s="55" t="s">
        <v>289</v>
      </c>
      <c r="E140" s="45" t="s">
        <v>21</v>
      </c>
      <c r="F140" s="46">
        <v>482.72</v>
      </c>
      <c r="G140" s="47">
        <v>482.72</v>
      </c>
      <c r="H140" s="240" t="s">
        <v>2000</v>
      </c>
      <c r="I140" s="240" t="s">
        <v>2001</v>
      </c>
      <c r="J140" s="242">
        <f>IFERROR(IF(N140&lt;&gt;"",M140,IF(I140 = PARÂMETROS!$B$5,Q140, IF(I140 = PARÂMETROS!$B$6,R140,IF(I140 = PARÂMETROS!$B$7,S140,IF(I140 = PARÂMETROS!$B$8, T140,"DEFINIR CRITÉRIO"))))),"SEM PREÇO")</f>
        <v>482.72</v>
      </c>
      <c r="K140" s="241">
        <f t="shared" si="74"/>
        <v>0</v>
      </c>
      <c r="L140" s="238" t="str">
        <f t="shared" si="75"/>
        <v/>
      </c>
      <c r="M140" s="46">
        <v>482.72</v>
      </c>
      <c r="N140" s="52" t="s">
        <v>1047</v>
      </c>
      <c r="O140" s="53"/>
      <c r="P140" s="235">
        <f t="shared" si="76"/>
        <v>0</v>
      </c>
      <c r="Q140" s="236">
        <f t="shared" si="77"/>
        <v>0</v>
      </c>
      <c r="R140" s="236">
        <f t="shared" si="78"/>
        <v>0</v>
      </c>
      <c r="S140" s="236">
        <f t="shared" si="79"/>
        <v>0</v>
      </c>
      <c r="T140" s="236">
        <f t="shared" si="80"/>
        <v>0</v>
      </c>
      <c r="U140" s="237" t="str">
        <f>IF(AA140 = "", "", IF(OR($H140 = PARÂMETROS!$E$5, $H140 = ""), AA140, IF(OR(AA140 &lt; (1-VLOOKUP($H140,PARÂMETROS!$E:$F,2,FALSE))*$P140, AA140 &gt; (1+VLOOKUP($H140,PARÂMETROS!$E:$F,2,FALSE))*$P140),"",AA140)))</f>
        <v/>
      </c>
      <c r="V140" s="237" t="str">
        <f>IF(AG140 = "", "", IF(OR($H140 = PARÂMETROS!$E$5, $H140 = ""), AG140, IF(OR(AG140 &lt; (1-VLOOKUP($H140,PARÂMETROS!$E:$F,2,FALSE))*$P145, AG140 &gt; (1+VLOOKUP($H140,PARÂMETROS!$E:$F,2,FALSE))*$P140),"",AG140)))</f>
        <v/>
      </c>
      <c r="W140" s="237" t="str">
        <f>IF(AM140 = "", "", IF(OR($H140 = PARÂMETROS!$E$5, $H140 = ""), AM140, IF(OR(AM140 &lt; (1-VLOOKUP($H140,PARÂMETROS!$E:$F,2,FALSE))*$P140, AM140 &gt; (1+VLOOKUP($H140,PARÂMETROS!$E:$F,2,FALSE))*$P140),"",AM140)))</f>
        <v/>
      </c>
      <c r="X140" s="237" t="str">
        <f>IF(AS140 = "", "", IF(OR($H140 = PARÂMETROS!$E$5, $H140 = ""), AS140, IF(OR(AS140 &lt; (1-VLOOKUP($H140,PARÂMETROS!$E:$F,2,FALSE))*$P140, AS140 &gt; (1+VLOOKUP($H140,PARÂMETROS!$E:$F,2,FALSE))*$P140),"",AS140)))</f>
        <v/>
      </c>
      <c r="Y140" s="237" t="str">
        <f>IF(AY140 = "", "", IF(OR($H140 = PARÂMETROS!$E$5, $H140 = ""), AY140, IF(OR(AY140 &lt; (1-VLOOKUP($H140,PARÂMETROS!$E:$F,2,FALSE))*$P140, AY140 &gt; (1+VLOOKUP($H140,PARÂMETROS!$E:$F,2,FALSE))*$P140),"",AY140)))</f>
        <v/>
      </c>
      <c r="Z140" s="237" t="str">
        <f>IF(BE140 = "", "", IF(OR($H140 = PARÂMETROS!$E$5, $H140 = ""), BE140, IF(OR(BE140 &lt; (1-VLOOKUP($H140,PARÂMETROS!$E:$F,2,FALSE))*$P140, BE140 &gt; (1+VLOOKUP($H140,PARÂMETROS!$E:$F,2,FALSE))*$P140),"",BE140)))</f>
        <v/>
      </c>
      <c r="AA140" s="207"/>
      <c r="AB140" s="208"/>
      <c r="AC140" s="206" t="str">
        <f>IF(AND(OR(AA140="",AA140=0),OR(AA140="",AB140=0)),"",IF(OR(AA140="",AA140=0),"DEFINIR PREÇO",IF(OR(AB140="",AB140=0),"DEFINIR FORNECEDOR",IF(OR(AA140&lt;&gt;"",AA140&lt;&gt;0),VLOOKUP(AB140,#REF!,2,FALSE)))))</f>
        <v/>
      </c>
      <c r="AD140" s="217"/>
      <c r="AE140" s="218"/>
      <c r="AF140" s="220" t="str">
        <f t="shared" ca="1" si="81"/>
        <v/>
      </c>
      <c r="AG140" s="229"/>
      <c r="AH140" s="231"/>
      <c r="AI140" s="206" t="str">
        <f>IF(AND(OR(AG140="",AG140=0),OR(AG140="",AH140=0)),"",IF(OR(AG140="",AG140=0),"DEFINIR PREÇO",IF(OR(AH140="",AH140=0),"DEFINIR FORNECEDOR",IF(OR(AG140&lt;&gt;"",AG140&lt;&gt;0),VLOOKUP(AH140,#REF!,2,FALSE)))))</f>
        <v/>
      </c>
      <c r="AJ140" s="217"/>
      <c r="AK140" s="218"/>
      <c r="AL140" s="220" t="str">
        <f t="shared" ca="1" si="82"/>
        <v/>
      </c>
      <c r="AM140" s="229"/>
      <c r="AN140" s="231"/>
      <c r="AO140" s="206" t="str">
        <f>IF(AND(OR(AM140="",AM140=0),OR(AM140="",AN140=0)),"",IF(OR(AM140="",AM140=0),"DEFINIR PREÇO",IF(OR(AN140="",AN140=0),"DEFINIR FORNECEDOR",IF(OR(AM140&lt;&gt;"",AM140&lt;&gt;0),VLOOKUP(AN140,#REF!,2,FALSE)))))</f>
        <v/>
      </c>
      <c r="AP140" s="217"/>
      <c r="AQ140" s="218"/>
      <c r="AR140" s="220" t="str">
        <f t="shared" ca="1" si="83"/>
        <v/>
      </c>
      <c r="AS140" s="229"/>
      <c r="AT140" s="231"/>
      <c r="AU140" s="194"/>
      <c r="AV140" s="217"/>
      <c r="AW140" s="218"/>
      <c r="AX140" s="220" t="str">
        <f t="shared" ca="1" si="84"/>
        <v/>
      </c>
      <c r="AY140" s="195"/>
      <c r="AZ140" s="196"/>
      <c r="BA140" s="209" t="str">
        <f>IF(AND(OR(AY140="",AY140=0),OR(AY140="",AZ140=0)),"",IF(OR(AY140="",AY140=0),"DEFINIR PREÇO",IF(OR(AZ140="",AZ140=0),"DEFINIR FORNECEDOR",IF(OR(AY140&lt;&gt;"",AY140&lt;&gt;0),VLOOKUP(AZ140,#REF!,2,FALSE)))))</f>
        <v/>
      </c>
      <c r="BB140" s="194"/>
      <c r="BC140" s="194"/>
      <c r="BD140" s="220" t="str">
        <f t="shared" ca="1" si="85"/>
        <v/>
      </c>
      <c r="BE140" s="195"/>
      <c r="BF140" s="196"/>
      <c r="BG140" s="194"/>
      <c r="BH140" s="194"/>
      <c r="BI140" s="194"/>
      <c r="BJ140" s="197"/>
    </row>
    <row r="141" spans="1:62" ht="25.5" x14ac:dyDescent="0.25">
      <c r="A141" s="44" t="s">
        <v>405</v>
      </c>
      <c r="B141" s="58" t="s">
        <v>334</v>
      </c>
      <c r="C141" s="45">
        <v>5</v>
      </c>
      <c r="D141" s="55" t="s">
        <v>290</v>
      </c>
      <c r="E141" s="45" t="s">
        <v>20</v>
      </c>
      <c r="F141" s="46">
        <v>127.92</v>
      </c>
      <c r="G141" s="47">
        <v>127.92</v>
      </c>
      <c r="H141" s="240" t="s">
        <v>2000</v>
      </c>
      <c r="I141" s="240" t="s">
        <v>2001</v>
      </c>
      <c r="J141" s="242">
        <f>IFERROR(IF(N141&lt;&gt;"",M141,IF(I141 = PARÂMETROS!$B$5,Q141, IF(I141 = PARÂMETROS!$B$6,R141,IF(I141 = PARÂMETROS!$B$7,S141,IF(I141 = PARÂMETROS!$B$8, T141,"DEFINIR CRITÉRIO"))))),"SEM PREÇO")</f>
        <v>127.92</v>
      </c>
      <c r="K141" s="241">
        <f t="shared" si="74"/>
        <v>0</v>
      </c>
      <c r="L141" s="238" t="str">
        <f t="shared" si="75"/>
        <v/>
      </c>
      <c r="M141" s="46">
        <v>127.92</v>
      </c>
      <c r="N141" s="52" t="s">
        <v>1047</v>
      </c>
      <c r="O141" s="53"/>
      <c r="P141" s="235">
        <f t="shared" si="76"/>
        <v>0</v>
      </c>
      <c r="Q141" s="236">
        <f t="shared" si="77"/>
        <v>0</v>
      </c>
      <c r="R141" s="236">
        <f t="shared" si="78"/>
        <v>0</v>
      </c>
      <c r="S141" s="236">
        <f t="shared" si="79"/>
        <v>0</v>
      </c>
      <c r="T141" s="236">
        <f t="shared" si="80"/>
        <v>0</v>
      </c>
      <c r="U141" s="237" t="str">
        <f>IF(AA141 = "", "", IF(OR($H141 = PARÂMETROS!$E$5, $H141 = ""), AA141, IF(OR(AA141 &lt; (1-VLOOKUP($H141,PARÂMETROS!$E:$F,2,FALSE))*$P141, AA141 &gt; (1+VLOOKUP($H141,PARÂMETROS!$E:$F,2,FALSE))*$P141),"",AA141)))</f>
        <v/>
      </c>
      <c r="V141" s="237" t="str">
        <f>IF(AG141 = "", "", IF(OR($H141 = PARÂMETROS!$E$5, $H141 = ""), AG141, IF(OR(AG141 &lt; (1-VLOOKUP($H141,PARÂMETROS!$E:$F,2,FALSE))*$P146, AG141 &gt; (1+VLOOKUP($H141,PARÂMETROS!$E:$F,2,FALSE))*$P141),"",AG141)))</f>
        <v/>
      </c>
      <c r="W141" s="237" t="str">
        <f>IF(AM141 = "", "", IF(OR($H141 = PARÂMETROS!$E$5, $H141 = ""), AM141, IF(OR(AM141 &lt; (1-VLOOKUP($H141,PARÂMETROS!$E:$F,2,FALSE))*$P141, AM141 &gt; (1+VLOOKUP($H141,PARÂMETROS!$E:$F,2,FALSE))*$P141),"",AM141)))</f>
        <v/>
      </c>
      <c r="X141" s="237" t="str">
        <f>IF(AS141 = "", "", IF(OR($H141 = PARÂMETROS!$E$5, $H141 = ""), AS141, IF(OR(AS141 &lt; (1-VLOOKUP($H141,PARÂMETROS!$E:$F,2,FALSE))*$P141, AS141 &gt; (1+VLOOKUP($H141,PARÂMETROS!$E:$F,2,FALSE))*$P141),"",AS141)))</f>
        <v/>
      </c>
      <c r="Y141" s="237" t="str">
        <f>IF(AY141 = "", "", IF(OR($H141 = PARÂMETROS!$E$5, $H141 = ""), AY141, IF(OR(AY141 &lt; (1-VLOOKUP($H141,PARÂMETROS!$E:$F,2,FALSE))*$P141, AY141 &gt; (1+VLOOKUP($H141,PARÂMETROS!$E:$F,2,FALSE))*$P141),"",AY141)))</f>
        <v/>
      </c>
      <c r="Z141" s="237" t="str">
        <f>IF(BE141 = "", "", IF(OR($H141 = PARÂMETROS!$E$5, $H141 = ""), BE141, IF(OR(BE141 &lt; (1-VLOOKUP($H141,PARÂMETROS!$E:$F,2,FALSE))*$P141, BE141 &gt; (1+VLOOKUP($H141,PARÂMETROS!$E:$F,2,FALSE))*$P141),"",BE141)))</f>
        <v/>
      </c>
      <c r="AA141" s="207"/>
      <c r="AB141" s="208"/>
      <c r="AC141" s="206" t="str">
        <f>IF(AND(OR(AA141="",AA141=0),OR(AA141="",AB141=0)),"",IF(OR(AA141="",AA141=0),"DEFINIR PREÇO",IF(OR(AB141="",AB141=0),"DEFINIR FORNECEDOR",IF(OR(AA141&lt;&gt;"",AA141&lt;&gt;0),VLOOKUP(AB141,#REF!,2,FALSE)))))</f>
        <v/>
      </c>
      <c r="AD141" s="217"/>
      <c r="AE141" s="218"/>
      <c r="AF141" s="220" t="str">
        <f t="shared" ca="1" si="81"/>
        <v/>
      </c>
      <c r="AG141" s="229"/>
      <c r="AH141" s="231"/>
      <c r="AI141" s="206" t="str">
        <f>IF(AND(OR(AG141="",AG141=0),OR(AG141="",AH141=0)),"",IF(OR(AG141="",AG141=0),"DEFINIR PREÇO",IF(OR(AH141="",AH141=0),"DEFINIR FORNECEDOR",IF(OR(AG141&lt;&gt;"",AG141&lt;&gt;0),VLOOKUP(AH141,#REF!,2,FALSE)))))</f>
        <v/>
      </c>
      <c r="AJ141" s="217"/>
      <c r="AK141" s="218"/>
      <c r="AL141" s="220" t="str">
        <f t="shared" ca="1" si="82"/>
        <v/>
      </c>
      <c r="AM141" s="229"/>
      <c r="AN141" s="231"/>
      <c r="AO141" s="206" t="str">
        <f>IF(AND(OR(AM141="",AM141=0),OR(AM141="",AN141=0)),"",IF(OR(AM141="",AM141=0),"DEFINIR PREÇO",IF(OR(AN141="",AN141=0),"DEFINIR FORNECEDOR",IF(OR(AM141&lt;&gt;"",AM141&lt;&gt;0),VLOOKUP(AN141,#REF!,2,FALSE)))))</f>
        <v/>
      </c>
      <c r="AP141" s="217"/>
      <c r="AQ141" s="218"/>
      <c r="AR141" s="220" t="str">
        <f t="shared" ca="1" si="83"/>
        <v/>
      </c>
      <c r="AS141" s="229"/>
      <c r="AT141" s="231"/>
      <c r="AU141" s="194"/>
      <c r="AV141" s="217"/>
      <c r="AW141" s="218"/>
      <c r="AX141" s="220" t="str">
        <f t="shared" ca="1" si="84"/>
        <v/>
      </c>
      <c r="AY141" s="195"/>
      <c r="AZ141" s="196"/>
      <c r="BA141" s="209" t="str">
        <f>IF(AND(OR(AY141="",AY141=0),OR(AY141="",AZ141=0)),"",IF(OR(AY141="",AY141=0),"DEFINIR PREÇO",IF(OR(AZ141="",AZ141=0),"DEFINIR FORNECEDOR",IF(OR(AY141&lt;&gt;"",AY141&lt;&gt;0),VLOOKUP(AZ141,#REF!,2,FALSE)))))</f>
        <v/>
      </c>
      <c r="BB141" s="194"/>
      <c r="BC141" s="194"/>
      <c r="BD141" s="220" t="str">
        <f t="shared" ca="1" si="85"/>
        <v/>
      </c>
      <c r="BE141" s="195"/>
      <c r="BF141" s="196"/>
      <c r="BG141" s="194"/>
      <c r="BH141" s="194"/>
      <c r="BI141" s="194"/>
      <c r="BJ141" s="197"/>
    </row>
    <row r="142" spans="1:62" ht="25.5" x14ac:dyDescent="0.25">
      <c r="A142" s="44" t="s">
        <v>405</v>
      </c>
      <c r="B142" s="58" t="s">
        <v>335</v>
      </c>
      <c r="C142" s="45">
        <v>5</v>
      </c>
      <c r="D142" s="55" t="s">
        <v>291</v>
      </c>
      <c r="E142" s="45" t="s">
        <v>23</v>
      </c>
      <c r="F142" s="46">
        <v>1615.88</v>
      </c>
      <c r="G142" s="47">
        <v>1615.88</v>
      </c>
      <c r="H142" s="240" t="s">
        <v>2000</v>
      </c>
      <c r="I142" s="240" t="s">
        <v>2001</v>
      </c>
      <c r="J142" s="242">
        <f>IFERROR(IF(N142&lt;&gt;"",M142,IF(I142 = PARÂMETROS!$B$5,Q142, IF(I142 = PARÂMETROS!$B$6,R142,IF(I142 = PARÂMETROS!$B$7,S142,IF(I142 = PARÂMETROS!$B$8, T142,"DEFINIR CRITÉRIO"))))),"SEM PREÇO")</f>
        <v>1615.88</v>
      </c>
      <c r="K142" s="241">
        <f t="shared" si="74"/>
        <v>0</v>
      </c>
      <c r="L142" s="238" t="str">
        <f t="shared" si="75"/>
        <v/>
      </c>
      <c r="M142" s="46">
        <v>1615.88</v>
      </c>
      <c r="N142" s="52" t="s">
        <v>1047</v>
      </c>
      <c r="O142" s="53"/>
      <c r="P142" s="235">
        <f t="shared" si="76"/>
        <v>0</v>
      </c>
      <c r="Q142" s="236">
        <f t="shared" si="77"/>
        <v>0</v>
      </c>
      <c r="R142" s="236">
        <f t="shared" si="78"/>
        <v>0</v>
      </c>
      <c r="S142" s="236">
        <f t="shared" si="79"/>
        <v>0</v>
      </c>
      <c r="T142" s="236">
        <f t="shared" si="80"/>
        <v>0</v>
      </c>
      <c r="U142" s="237" t="str">
        <f>IF(AA142 = "", "", IF(OR($H142 = PARÂMETROS!$E$5, $H142 = ""), AA142, IF(OR(AA142 &lt; (1-VLOOKUP($H142,PARÂMETROS!$E:$F,2,FALSE))*$P142, AA142 &gt; (1+VLOOKUP($H142,PARÂMETROS!$E:$F,2,FALSE))*$P142),"",AA142)))</f>
        <v/>
      </c>
      <c r="V142" s="237" t="str">
        <f>IF(AG142 = "", "", IF(OR($H142 = PARÂMETROS!$E$5, $H142 = ""), AG142, IF(OR(AG142 &lt; (1-VLOOKUP($H142,PARÂMETROS!$E:$F,2,FALSE))*$P147, AG142 &gt; (1+VLOOKUP($H142,PARÂMETROS!$E:$F,2,FALSE))*$P142),"",AG142)))</f>
        <v/>
      </c>
      <c r="W142" s="237" t="str">
        <f>IF(AM142 = "", "", IF(OR($H142 = PARÂMETROS!$E$5, $H142 = ""), AM142, IF(OR(AM142 &lt; (1-VLOOKUP($H142,PARÂMETROS!$E:$F,2,FALSE))*$P142, AM142 &gt; (1+VLOOKUP($H142,PARÂMETROS!$E:$F,2,FALSE))*$P142),"",AM142)))</f>
        <v/>
      </c>
      <c r="X142" s="237" t="str">
        <f>IF(AS142 = "", "", IF(OR($H142 = PARÂMETROS!$E$5, $H142 = ""), AS142, IF(OR(AS142 &lt; (1-VLOOKUP($H142,PARÂMETROS!$E:$F,2,FALSE))*$P142, AS142 &gt; (1+VLOOKUP($H142,PARÂMETROS!$E:$F,2,FALSE))*$P142),"",AS142)))</f>
        <v/>
      </c>
      <c r="Y142" s="237" t="str">
        <f>IF(AY142 = "", "", IF(OR($H142 = PARÂMETROS!$E$5, $H142 = ""), AY142, IF(OR(AY142 &lt; (1-VLOOKUP($H142,PARÂMETROS!$E:$F,2,FALSE))*$P142, AY142 &gt; (1+VLOOKUP($H142,PARÂMETROS!$E:$F,2,FALSE))*$P142),"",AY142)))</f>
        <v/>
      </c>
      <c r="Z142" s="237" t="str">
        <f>IF(BE142 = "", "", IF(OR($H142 = PARÂMETROS!$E$5, $H142 = ""), BE142, IF(OR(BE142 &lt; (1-VLOOKUP($H142,PARÂMETROS!$E:$F,2,FALSE))*$P142, BE142 &gt; (1+VLOOKUP($H142,PARÂMETROS!$E:$F,2,FALSE))*$P142),"",BE142)))</f>
        <v/>
      </c>
      <c r="AA142" s="207"/>
      <c r="AB142" s="208"/>
      <c r="AC142" s="206" t="str">
        <f>IF(AND(OR(AA142="",AA142=0),OR(AA142="",AB142=0)),"",IF(OR(AA142="",AA142=0),"DEFINIR PREÇO",IF(OR(AB142="",AB142=0),"DEFINIR FORNECEDOR",IF(OR(AA142&lt;&gt;"",AA142&lt;&gt;0),VLOOKUP(AB142,#REF!,2,FALSE)))))</f>
        <v/>
      </c>
      <c r="AD142" s="217"/>
      <c r="AE142" s="218"/>
      <c r="AF142" s="220" t="str">
        <f t="shared" ca="1" si="81"/>
        <v/>
      </c>
      <c r="AG142" s="229"/>
      <c r="AH142" s="231"/>
      <c r="AI142" s="206" t="str">
        <f>IF(AND(OR(AG142="",AG142=0),OR(AG142="",AH142=0)),"",IF(OR(AG142="",AG142=0),"DEFINIR PREÇO",IF(OR(AH142="",AH142=0),"DEFINIR FORNECEDOR",IF(OR(AG142&lt;&gt;"",AG142&lt;&gt;0),VLOOKUP(AH142,#REF!,2,FALSE)))))</f>
        <v/>
      </c>
      <c r="AJ142" s="217"/>
      <c r="AK142" s="218"/>
      <c r="AL142" s="220" t="str">
        <f t="shared" ca="1" si="82"/>
        <v/>
      </c>
      <c r="AM142" s="229"/>
      <c r="AN142" s="231"/>
      <c r="AO142" s="206" t="str">
        <f>IF(AND(OR(AM142="",AM142=0),OR(AM142="",AN142=0)),"",IF(OR(AM142="",AM142=0),"DEFINIR PREÇO",IF(OR(AN142="",AN142=0),"DEFINIR FORNECEDOR",IF(OR(AM142&lt;&gt;"",AM142&lt;&gt;0),VLOOKUP(AN142,#REF!,2,FALSE)))))</f>
        <v/>
      </c>
      <c r="AP142" s="217"/>
      <c r="AQ142" s="218"/>
      <c r="AR142" s="220" t="str">
        <f t="shared" ca="1" si="83"/>
        <v/>
      </c>
      <c r="AS142" s="229"/>
      <c r="AT142" s="231"/>
      <c r="AU142" s="194"/>
      <c r="AV142" s="217"/>
      <c r="AW142" s="218"/>
      <c r="AX142" s="220" t="str">
        <f t="shared" ca="1" si="84"/>
        <v/>
      </c>
      <c r="AY142" s="195"/>
      <c r="AZ142" s="196"/>
      <c r="BA142" s="209" t="str">
        <f>IF(AND(OR(AY142="",AY142=0),OR(AY142="",AZ142=0)),"",IF(OR(AY142="",AY142=0),"DEFINIR PREÇO",IF(OR(AZ142="",AZ142=0),"DEFINIR FORNECEDOR",IF(OR(AY142&lt;&gt;"",AY142&lt;&gt;0),VLOOKUP(AZ142,#REF!,2,FALSE)))))</f>
        <v/>
      </c>
      <c r="BB142" s="194"/>
      <c r="BC142" s="194"/>
      <c r="BD142" s="220" t="str">
        <f t="shared" ca="1" si="85"/>
        <v/>
      </c>
      <c r="BE142" s="195"/>
      <c r="BF142" s="196"/>
      <c r="BG142" s="194"/>
      <c r="BH142" s="194"/>
      <c r="BI142" s="194"/>
      <c r="BJ142" s="197"/>
    </row>
    <row r="143" spans="1:62" ht="38.25" x14ac:dyDescent="0.25">
      <c r="A143" s="44" t="s">
        <v>405</v>
      </c>
      <c r="B143" s="58" t="s">
        <v>336</v>
      </c>
      <c r="C143" s="45">
        <v>5</v>
      </c>
      <c r="D143" s="55" t="s">
        <v>292</v>
      </c>
      <c r="E143" s="45" t="s">
        <v>23</v>
      </c>
      <c r="F143" s="46">
        <v>2267.6</v>
      </c>
      <c r="G143" s="47">
        <v>2267.6</v>
      </c>
      <c r="H143" s="240" t="s">
        <v>2000</v>
      </c>
      <c r="I143" s="240" t="s">
        <v>2001</v>
      </c>
      <c r="J143" s="242">
        <f>IFERROR(IF(N143&lt;&gt;"",M143,IF(I143 = PARÂMETROS!$B$5,Q143, IF(I143 = PARÂMETROS!$B$6,R143,IF(I143 = PARÂMETROS!$B$7,S143,IF(I143 = PARÂMETROS!$B$8, T143,"DEFINIR CRITÉRIO"))))),"SEM PREÇO")</f>
        <v>2267.6</v>
      </c>
      <c r="K143" s="241">
        <f t="shared" si="74"/>
        <v>0</v>
      </c>
      <c r="L143" s="238" t="str">
        <f t="shared" si="75"/>
        <v/>
      </c>
      <c r="M143" s="46">
        <v>2267.6</v>
      </c>
      <c r="N143" s="52" t="s">
        <v>1047</v>
      </c>
      <c r="O143" s="53"/>
      <c r="P143" s="235">
        <f t="shared" si="76"/>
        <v>0</v>
      </c>
      <c r="Q143" s="236">
        <f t="shared" si="77"/>
        <v>0</v>
      </c>
      <c r="R143" s="236">
        <f t="shared" si="78"/>
        <v>0</v>
      </c>
      <c r="S143" s="236">
        <f t="shared" si="79"/>
        <v>0</v>
      </c>
      <c r="T143" s="236">
        <f t="shared" si="80"/>
        <v>0</v>
      </c>
      <c r="U143" s="237" t="str">
        <f>IF(AA143 = "", "", IF(OR($H143 = PARÂMETROS!$E$5, $H143 = ""), AA143, IF(OR(AA143 &lt; (1-VLOOKUP($H143,PARÂMETROS!$E:$F,2,FALSE))*$P143, AA143 &gt; (1+VLOOKUP($H143,PARÂMETROS!$E:$F,2,FALSE))*$P143),"",AA143)))</f>
        <v/>
      </c>
      <c r="V143" s="237" t="str">
        <f>IF(AG143 = "", "", IF(OR($H143 = PARÂMETROS!$E$5, $H143 = ""), AG143, IF(OR(AG143 &lt; (1-VLOOKUP($H143,PARÂMETROS!$E:$F,2,FALSE))*$P148, AG143 &gt; (1+VLOOKUP($H143,PARÂMETROS!$E:$F,2,FALSE))*$P143),"",AG143)))</f>
        <v/>
      </c>
      <c r="W143" s="237" t="str">
        <f>IF(AM143 = "", "", IF(OR($H143 = PARÂMETROS!$E$5, $H143 = ""), AM143, IF(OR(AM143 &lt; (1-VLOOKUP($H143,PARÂMETROS!$E:$F,2,FALSE))*$P143, AM143 &gt; (1+VLOOKUP($H143,PARÂMETROS!$E:$F,2,FALSE))*$P143),"",AM143)))</f>
        <v/>
      </c>
      <c r="X143" s="237" t="str">
        <f>IF(AS143 = "", "", IF(OR($H143 = PARÂMETROS!$E$5, $H143 = ""), AS143, IF(OR(AS143 &lt; (1-VLOOKUP($H143,PARÂMETROS!$E:$F,2,FALSE))*$P143, AS143 &gt; (1+VLOOKUP($H143,PARÂMETROS!$E:$F,2,FALSE))*$P143),"",AS143)))</f>
        <v/>
      </c>
      <c r="Y143" s="237" t="str">
        <f>IF(AY143 = "", "", IF(OR($H143 = PARÂMETROS!$E$5, $H143 = ""), AY143, IF(OR(AY143 &lt; (1-VLOOKUP($H143,PARÂMETROS!$E:$F,2,FALSE))*$P143, AY143 &gt; (1+VLOOKUP($H143,PARÂMETROS!$E:$F,2,FALSE))*$P143),"",AY143)))</f>
        <v/>
      </c>
      <c r="Z143" s="237" t="str">
        <f>IF(BE143 = "", "", IF(OR($H143 = PARÂMETROS!$E$5, $H143 = ""), BE143, IF(OR(BE143 &lt; (1-VLOOKUP($H143,PARÂMETROS!$E:$F,2,FALSE))*$P143, BE143 &gt; (1+VLOOKUP($H143,PARÂMETROS!$E:$F,2,FALSE))*$P143),"",BE143)))</f>
        <v/>
      </c>
      <c r="AA143" s="207"/>
      <c r="AB143" s="208"/>
      <c r="AC143" s="206" t="str">
        <f>IF(AND(OR(AA143="",AA143=0),OR(AA143="",AB143=0)),"",IF(OR(AA143="",AA143=0),"DEFINIR PREÇO",IF(OR(AB143="",AB143=0),"DEFINIR FORNECEDOR",IF(OR(AA143&lt;&gt;"",AA143&lt;&gt;0),VLOOKUP(AB143,#REF!,2,FALSE)))))</f>
        <v/>
      </c>
      <c r="AD143" s="217"/>
      <c r="AE143" s="218"/>
      <c r="AF143" s="220" t="str">
        <f t="shared" ca="1" si="81"/>
        <v/>
      </c>
      <c r="AG143" s="229"/>
      <c r="AH143" s="231"/>
      <c r="AI143" s="206" t="str">
        <f>IF(AND(OR(AG143="",AG143=0),OR(AG143="",AH143=0)),"",IF(OR(AG143="",AG143=0),"DEFINIR PREÇO",IF(OR(AH143="",AH143=0),"DEFINIR FORNECEDOR",IF(OR(AG143&lt;&gt;"",AG143&lt;&gt;0),VLOOKUP(AH143,#REF!,2,FALSE)))))</f>
        <v/>
      </c>
      <c r="AJ143" s="217"/>
      <c r="AK143" s="218"/>
      <c r="AL143" s="220" t="str">
        <f t="shared" ca="1" si="82"/>
        <v/>
      </c>
      <c r="AM143" s="229"/>
      <c r="AN143" s="231"/>
      <c r="AO143" s="206" t="str">
        <f>IF(AND(OR(AM143="",AM143=0),OR(AM143="",AN143=0)),"",IF(OR(AM143="",AM143=0),"DEFINIR PREÇO",IF(OR(AN143="",AN143=0),"DEFINIR FORNECEDOR",IF(OR(AM143&lt;&gt;"",AM143&lt;&gt;0),VLOOKUP(AN143,#REF!,2,FALSE)))))</f>
        <v/>
      </c>
      <c r="AP143" s="217"/>
      <c r="AQ143" s="218"/>
      <c r="AR143" s="220" t="str">
        <f t="shared" ca="1" si="83"/>
        <v/>
      </c>
      <c r="AS143" s="229"/>
      <c r="AT143" s="231"/>
      <c r="AU143" s="194"/>
      <c r="AV143" s="217"/>
      <c r="AW143" s="218"/>
      <c r="AX143" s="220" t="str">
        <f t="shared" ca="1" si="84"/>
        <v/>
      </c>
      <c r="AY143" s="195"/>
      <c r="AZ143" s="196"/>
      <c r="BA143" s="209" t="str">
        <f>IF(AND(OR(AY143="",AY143=0),OR(AY143="",AZ143=0)),"",IF(OR(AY143="",AY143=0),"DEFINIR PREÇO",IF(OR(AZ143="",AZ143=0),"DEFINIR FORNECEDOR",IF(OR(AY143&lt;&gt;"",AY143&lt;&gt;0),VLOOKUP(AZ143,#REF!,2,FALSE)))))</f>
        <v/>
      </c>
      <c r="BB143" s="194"/>
      <c r="BC143" s="194"/>
      <c r="BD143" s="220" t="str">
        <f t="shared" ca="1" si="85"/>
        <v/>
      </c>
      <c r="BE143" s="195"/>
      <c r="BF143" s="196"/>
      <c r="BG143" s="194"/>
      <c r="BH143" s="194"/>
      <c r="BI143" s="194"/>
      <c r="BJ143" s="197"/>
    </row>
    <row r="144" spans="1:62" ht="38.25" x14ac:dyDescent="0.25">
      <c r="A144" s="44" t="s">
        <v>405</v>
      </c>
      <c r="B144" s="58" t="s">
        <v>337</v>
      </c>
      <c r="C144" s="45">
        <v>5</v>
      </c>
      <c r="D144" s="55" t="s">
        <v>293</v>
      </c>
      <c r="E144" s="45" t="s">
        <v>23</v>
      </c>
      <c r="F144" s="46">
        <v>40012.31</v>
      </c>
      <c r="G144" s="47">
        <v>40012.31</v>
      </c>
      <c r="H144" s="240" t="s">
        <v>2000</v>
      </c>
      <c r="I144" s="240" t="s">
        <v>2001</v>
      </c>
      <c r="J144" s="242">
        <f>IFERROR(IF(N144&lt;&gt;"",M144,IF(I144 = PARÂMETROS!$B$5,Q144, IF(I144 = PARÂMETROS!$B$6,R144,IF(I144 = PARÂMETROS!$B$7,S144,IF(I144 = PARÂMETROS!$B$8, T144,"DEFINIR CRITÉRIO"))))),"SEM PREÇO")</f>
        <v>40012.31</v>
      </c>
      <c r="K144" s="241">
        <f t="shared" si="74"/>
        <v>0</v>
      </c>
      <c r="L144" s="238" t="str">
        <f t="shared" si="75"/>
        <v/>
      </c>
      <c r="M144" s="46">
        <v>40012.31</v>
      </c>
      <c r="N144" s="52" t="s">
        <v>1047</v>
      </c>
      <c r="O144" s="53"/>
      <c r="P144" s="235">
        <f t="shared" si="76"/>
        <v>0</v>
      </c>
      <c r="Q144" s="236">
        <f t="shared" si="77"/>
        <v>0</v>
      </c>
      <c r="R144" s="236">
        <f t="shared" si="78"/>
        <v>0</v>
      </c>
      <c r="S144" s="236">
        <f t="shared" si="79"/>
        <v>0</v>
      </c>
      <c r="T144" s="236">
        <f t="shared" si="80"/>
        <v>0</v>
      </c>
      <c r="U144" s="237" t="str">
        <f>IF(AA144 = "", "", IF(OR($H144 = PARÂMETROS!$E$5, $H144 = ""), AA144, IF(OR(AA144 &lt; (1-VLOOKUP($H144,PARÂMETROS!$E:$F,2,FALSE))*$P144, AA144 &gt; (1+VLOOKUP($H144,PARÂMETROS!$E:$F,2,FALSE))*$P144),"",AA144)))</f>
        <v/>
      </c>
      <c r="V144" s="237" t="str">
        <f>IF(AG144 = "", "", IF(OR($H144 = PARÂMETROS!$E$5, $H144 = ""), AG144, IF(OR(AG144 &lt; (1-VLOOKUP($H144,PARÂMETROS!$E:$F,2,FALSE))*$P149, AG144 &gt; (1+VLOOKUP($H144,PARÂMETROS!$E:$F,2,FALSE))*$P144),"",AG144)))</f>
        <v/>
      </c>
      <c r="W144" s="237" t="str">
        <f>IF(AM144 = "", "", IF(OR($H144 = PARÂMETROS!$E$5, $H144 = ""), AM144, IF(OR(AM144 &lt; (1-VLOOKUP($H144,PARÂMETROS!$E:$F,2,FALSE))*$P144, AM144 &gt; (1+VLOOKUP($H144,PARÂMETROS!$E:$F,2,FALSE))*$P144),"",AM144)))</f>
        <v/>
      </c>
      <c r="X144" s="237" t="str">
        <f>IF(AS144 = "", "", IF(OR($H144 = PARÂMETROS!$E$5, $H144 = ""), AS144, IF(OR(AS144 &lt; (1-VLOOKUP($H144,PARÂMETROS!$E:$F,2,FALSE))*$P144, AS144 &gt; (1+VLOOKUP($H144,PARÂMETROS!$E:$F,2,FALSE))*$P144),"",AS144)))</f>
        <v/>
      </c>
      <c r="Y144" s="237" t="str">
        <f>IF(AY144 = "", "", IF(OR($H144 = PARÂMETROS!$E$5, $H144 = ""), AY144, IF(OR(AY144 &lt; (1-VLOOKUP($H144,PARÂMETROS!$E:$F,2,FALSE))*$P144, AY144 &gt; (1+VLOOKUP($H144,PARÂMETROS!$E:$F,2,FALSE))*$P144),"",AY144)))</f>
        <v/>
      </c>
      <c r="Z144" s="237" t="str">
        <f>IF(BE144 = "", "", IF(OR($H144 = PARÂMETROS!$E$5, $H144 = ""), BE144, IF(OR(BE144 &lt; (1-VLOOKUP($H144,PARÂMETROS!$E:$F,2,FALSE))*$P144, BE144 &gt; (1+VLOOKUP($H144,PARÂMETROS!$E:$F,2,FALSE))*$P144),"",BE144)))</f>
        <v/>
      </c>
      <c r="AA144" s="207"/>
      <c r="AB144" s="208"/>
      <c r="AC144" s="206" t="str">
        <f>IF(AND(OR(AA144="",AA144=0),OR(AA144="",AB144=0)),"",IF(OR(AA144="",AA144=0),"DEFINIR PREÇO",IF(OR(AB144="",AB144=0),"DEFINIR FORNECEDOR",IF(OR(AA144&lt;&gt;"",AA144&lt;&gt;0),VLOOKUP(AB144,#REF!,2,FALSE)))))</f>
        <v/>
      </c>
      <c r="AD144" s="217"/>
      <c r="AE144" s="218"/>
      <c r="AF144" s="220" t="str">
        <f t="shared" ca="1" si="81"/>
        <v/>
      </c>
      <c r="AG144" s="229"/>
      <c r="AH144" s="231"/>
      <c r="AI144" s="206" t="str">
        <f>IF(AND(OR(AG144="",AG144=0),OR(AG144="",AH144=0)),"",IF(OR(AG144="",AG144=0),"DEFINIR PREÇO",IF(OR(AH144="",AH144=0),"DEFINIR FORNECEDOR",IF(OR(AG144&lt;&gt;"",AG144&lt;&gt;0),VLOOKUP(AH144,#REF!,2,FALSE)))))</f>
        <v/>
      </c>
      <c r="AJ144" s="217"/>
      <c r="AK144" s="218"/>
      <c r="AL144" s="220" t="str">
        <f t="shared" ca="1" si="82"/>
        <v/>
      </c>
      <c r="AM144" s="229"/>
      <c r="AN144" s="231"/>
      <c r="AO144" s="206" t="str">
        <f>IF(AND(OR(AM144="",AM144=0),OR(AM144="",AN144=0)),"",IF(OR(AM144="",AM144=0),"DEFINIR PREÇO",IF(OR(AN144="",AN144=0),"DEFINIR FORNECEDOR",IF(OR(AM144&lt;&gt;"",AM144&lt;&gt;0),VLOOKUP(AN144,#REF!,2,FALSE)))))</f>
        <v/>
      </c>
      <c r="AP144" s="217"/>
      <c r="AQ144" s="218"/>
      <c r="AR144" s="220" t="str">
        <f t="shared" ca="1" si="83"/>
        <v/>
      </c>
      <c r="AS144" s="229"/>
      <c r="AT144" s="231"/>
      <c r="AU144" s="194"/>
      <c r="AV144" s="217"/>
      <c r="AW144" s="218"/>
      <c r="AX144" s="220" t="str">
        <f t="shared" ca="1" si="84"/>
        <v/>
      </c>
      <c r="AY144" s="195"/>
      <c r="AZ144" s="196"/>
      <c r="BA144" s="209" t="str">
        <f>IF(AND(OR(AY144="",AY144=0),OR(AY144="",AZ144=0)),"",IF(OR(AY144="",AY144=0),"DEFINIR PREÇO",IF(OR(AZ144="",AZ144=0),"DEFINIR FORNECEDOR",IF(OR(AY144&lt;&gt;"",AY144&lt;&gt;0),VLOOKUP(AZ144,#REF!,2,FALSE)))))</f>
        <v/>
      </c>
      <c r="BB144" s="194"/>
      <c r="BC144" s="194"/>
      <c r="BD144" s="220" t="str">
        <f t="shared" ca="1" si="85"/>
        <v/>
      </c>
      <c r="BE144" s="195"/>
      <c r="BF144" s="196"/>
      <c r="BG144" s="194"/>
      <c r="BH144" s="194"/>
      <c r="BI144" s="194"/>
      <c r="BJ144" s="197"/>
    </row>
    <row r="145" spans="1:62" ht="25.5" x14ac:dyDescent="0.25">
      <c r="A145" s="44" t="s">
        <v>405</v>
      </c>
      <c r="B145" s="58" t="s">
        <v>338</v>
      </c>
      <c r="C145" s="45">
        <v>5</v>
      </c>
      <c r="D145" s="55" t="s">
        <v>294</v>
      </c>
      <c r="E145" s="45" t="s">
        <v>20</v>
      </c>
      <c r="F145" s="46">
        <v>1645.89</v>
      </c>
      <c r="G145" s="47">
        <v>1645.89</v>
      </c>
      <c r="H145" s="240" t="s">
        <v>2000</v>
      </c>
      <c r="I145" s="240" t="s">
        <v>2001</v>
      </c>
      <c r="J145" s="242">
        <f>IFERROR(IF(N145&lt;&gt;"",M145,IF(I145 = PARÂMETROS!$B$5,Q145, IF(I145 = PARÂMETROS!$B$6,R145,IF(I145 = PARÂMETROS!$B$7,S145,IF(I145 = PARÂMETROS!$B$8, T145,"DEFINIR CRITÉRIO"))))),"SEM PREÇO")</f>
        <v>1645.89</v>
      </c>
      <c r="K145" s="241">
        <f t="shared" si="74"/>
        <v>0</v>
      </c>
      <c r="L145" s="238" t="str">
        <f t="shared" si="75"/>
        <v/>
      </c>
      <c r="M145" s="46">
        <v>1645.89</v>
      </c>
      <c r="N145" s="52" t="s">
        <v>1047</v>
      </c>
      <c r="O145" s="53"/>
      <c r="P145" s="235">
        <f t="shared" si="76"/>
        <v>0</v>
      </c>
      <c r="Q145" s="236">
        <f t="shared" si="77"/>
        <v>0</v>
      </c>
      <c r="R145" s="236">
        <f t="shared" si="78"/>
        <v>0</v>
      </c>
      <c r="S145" s="236">
        <f t="shared" si="79"/>
        <v>0</v>
      </c>
      <c r="T145" s="236">
        <f t="shared" si="80"/>
        <v>0</v>
      </c>
      <c r="U145" s="237" t="str">
        <f>IF(AA145 = "", "", IF(OR($H145 = PARÂMETROS!$E$5, $H145 = ""), AA145, IF(OR(AA145 &lt; (1-VLOOKUP($H145,PARÂMETROS!$E:$F,2,FALSE))*$P145, AA145 &gt; (1+VLOOKUP($H145,PARÂMETROS!$E:$F,2,FALSE))*$P145),"",AA145)))</f>
        <v/>
      </c>
      <c r="V145" s="237" t="str">
        <f>IF(AG145 = "", "", IF(OR($H145 = PARÂMETROS!$E$5, $H145 = ""), AG145, IF(OR(AG145 &lt; (1-VLOOKUP($H145,PARÂMETROS!$E:$F,2,FALSE))*$P150, AG145 &gt; (1+VLOOKUP($H145,PARÂMETROS!$E:$F,2,FALSE))*$P145),"",AG145)))</f>
        <v/>
      </c>
      <c r="W145" s="237" t="str">
        <f>IF(AM145 = "", "", IF(OR($H145 = PARÂMETROS!$E$5, $H145 = ""), AM145, IF(OR(AM145 &lt; (1-VLOOKUP($H145,PARÂMETROS!$E:$F,2,FALSE))*$P145, AM145 &gt; (1+VLOOKUP($H145,PARÂMETROS!$E:$F,2,FALSE))*$P145),"",AM145)))</f>
        <v/>
      </c>
      <c r="X145" s="237" t="str">
        <f>IF(AS145 = "", "", IF(OR($H145 = PARÂMETROS!$E$5, $H145 = ""), AS145, IF(OR(AS145 &lt; (1-VLOOKUP($H145,PARÂMETROS!$E:$F,2,FALSE))*$P145, AS145 &gt; (1+VLOOKUP($H145,PARÂMETROS!$E:$F,2,FALSE))*$P145),"",AS145)))</f>
        <v/>
      </c>
      <c r="Y145" s="237" t="str">
        <f>IF(AY145 = "", "", IF(OR($H145 = PARÂMETROS!$E$5, $H145 = ""), AY145, IF(OR(AY145 &lt; (1-VLOOKUP($H145,PARÂMETROS!$E:$F,2,FALSE))*$P145, AY145 &gt; (1+VLOOKUP($H145,PARÂMETROS!$E:$F,2,FALSE))*$P145),"",AY145)))</f>
        <v/>
      </c>
      <c r="Z145" s="237" t="str">
        <f>IF(BE145 = "", "", IF(OR($H145 = PARÂMETROS!$E$5, $H145 = ""), BE145, IF(OR(BE145 &lt; (1-VLOOKUP($H145,PARÂMETROS!$E:$F,2,FALSE))*$P145, BE145 &gt; (1+VLOOKUP($H145,PARÂMETROS!$E:$F,2,FALSE))*$P145),"",BE145)))</f>
        <v/>
      </c>
      <c r="AA145" s="207"/>
      <c r="AB145" s="208"/>
      <c r="AC145" s="206" t="str">
        <f>IF(AND(OR(AA145="",AA145=0),OR(AA145="",AB145=0)),"",IF(OR(AA145="",AA145=0),"DEFINIR PREÇO",IF(OR(AB145="",AB145=0),"DEFINIR FORNECEDOR",IF(OR(AA145&lt;&gt;"",AA145&lt;&gt;0),VLOOKUP(AB145,#REF!,2,FALSE)))))</f>
        <v/>
      </c>
      <c r="AD145" s="217"/>
      <c r="AE145" s="218"/>
      <c r="AF145" s="220" t="str">
        <f t="shared" ca="1" si="81"/>
        <v/>
      </c>
      <c r="AG145" s="229"/>
      <c r="AH145" s="231"/>
      <c r="AI145" s="206" t="str">
        <f>IF(AND(OR(AG145="",AG145=0),OR(AG145="",AH145=0)),"",IF(OR(AG145="",AG145=0),"DEFINIR PREÇO",IF(OR(AH145="",AH145=0),"DEFINIR FORNECEDOR",IF(OR(AG145&lt;&gt;"",AG145&lt;&gt;0),VLOOKUP(AH145,#REF!,2,FALSE)))))</f>
        <v/>
      </c>
      <c r="AJ145" s="217"/>
      <c r="AK145" s="218"/>
      <c r="AL145" s="220" t="str">
        <f t="shared" ca="1" si="82"/>
        <v/>
      </c>
      <c r="AM145" s="229"/>
      <c r="AN145" s="231"/>
      <c r="AO145" s="206" t="str">
        <f>IF(AND(OR(AM145="",AM145=0),OR(AM145="",AN145=0)),"",IF(OR(AM145="",AM145=0),"DEFINIR PREÇO",IF(OR(AN145="",AN145=0),"DEFINIR FORNECEDOR",IF(OR(AM145&lt;&gt;"",AM145&lt;&gt;0),VLOOKUP(AN145,#REF!,2,FALSE)))))</f>
        <v/>
      </c>
      <c r="AP145" s="217"/>
      <c r="AQ145" s="218"/>
      <c r="AR145" s="220" t="str">
        <f t="shared" ca="1" si="83"/>
        <v/>
      </c>
      <c r="AS145" s="229"/>
      <c r="AT145" s="231"/>
      <c r="AU145" s="194"/>
      <c r="AV145" s="217"/>
      <c r="AW145" s="218"/>
      <c r="AX145" s="220" t="str">
        <f t="shared" ca="1" si="84"/>
        <v/>
      </c>
      <c r="AY145" s="195"/>
      <c r="AZ145" s="196"/>
      <c r="BA145" s="209" t="str">
        <f>IF(AND(OR(AY145="",AY145=0),OR(AY145="",AZ145=0)),"",IF(OR(AY145="",AY145=0),"DEFINIR PREÇO",IF(OR(AZ145="",AZ145=0),"DEFINIR FORNECEDOR",IF(OR(AY145&lt;&gt;"",AY145&lt;&gt;0),VLOOKUP(AZ145,#REF!,2,FALSE)))))</f>
        <v/>
      </c>
      <c r="BB145" s="194"/>
      <c r="BC145" s="194"/>
      <c r="BD145" s="220" t="str">
        <f t="shared" ca="1" si="85"/>
        <v/>
      </c>
      <c r="BE145" s="195"/>
      <c r="BF145" s="196"/>
      <c r="BG145" s="194"/>
      <c r="BH145" s="194"/>
      <c r="BI145" s="194"/>
      <c r="BJ145" s="197"/>
    </row>
    <row r="146" spans="1:62" ht="25.5" x14ac:dyDescent="0.25">
      <c r="A146" s="44" t="s">
        <v>405</v>
      </c>
      <c r="B146" s="58" t="s">
        <v>339</v>
      </c>
      <c r="C146" s="45">
        <v>5</v>
      </c>
      <c r="D146" s="55" t="s">
        <v>295</v>
      </c>
      <c r="E146" s="45" t="s">
        <v>20</v>
      </c>
      <c r="F146" s="46">
        <v>1000.31</v>
      </c>
      <c r="G146" s="47">
        <v>1000.31</v>
      </c>
      <c r="H146" s="240" t="s">
        <v>2000</v>
      </c>
      <c r="I146" s="240" t="s">
        <v>2001</v>
      </c>
      <c r="J146" s="242">
        <f>IFERROR(IF(N146&lt;&gt;"",M146,IF(I146 = PARÂMETROS!$B$5,Q146, IF(I146 = PARÂMETROS!$B$6,R146,IF(I146 = PARÂMETROS!$B$7,S146,IF(I146 = PARÂMETROS!$B$8, T146,"DEFINIR CRITÉRIO"))))),"SEM PREÇO")</f>
        <v>1000.31</v>
      </c>
      <c r="K146" s="241">
        <f t="shared" si="74"/>
        <v>0</v>
      </c>
      <c r="L146" s="238" t="str">
        <f t="shared" si="75"/>
        <v/>
      </c>
      <c r="M146" s="46">
        <v>1000.31</v>
      </c>
      <c r="N146" s="52" t="s">
        <v>1047</v>
      </c>
      <c r="O146" s="53"/>
      <c r="P146" s="235">
        <f t="shared" si="76"/>
        <v>0</v>
      </c>
      <c r="Q146" s="236">
        <f t="shared" si="77"/>
        <v>0</v>
      </c>
      <c r="R146" s="236">
        <f t="shared" si="78"/>
        <v>0</v>
      </c>
      <c r="S146" s="236">
        <f t="shared" si="79"/>
        <v>0</v>
      </c>
      <c r="T146" s="236">
        <f t="shared" si="80"/>
        <v>0</v>
      </c>
      <c r="U146" s="237" t="str">
        <f>IF(AA146 = "", "", IF(OR($H146 = PARÂMETROS!$E$5, $H146 = ""), AA146, IF(OR(AA146 &lt; (1-VLOOKUP($H146,PARÂMETROS!$E:$F,2,FALSE))*$P146, AA146 &gt; (1+VLOOKUP($H146,PARÂMETROS!$E:$F,2,FALSE))*$P146),"",AA146)))</f>
        <v/>
      </c>
      <c r="V146" s="237" t="str">
        <f>IF(AG146 = "", "", IF(OR($H146 = PARÂMETROS!$E$5, $H146 = ""), AG146, IF(OR(AG146 &lt; (1-VLOOKUP($H146,PARÂMETROS!$E:$F,2,FALSE))*$P151, AG146 &gt; (1+VLOOKUP($H146,PARÂMETROS!$E:$F,2,FALSE))*$P146),"",AG146)))</f>
        <v/>
      </c>
      <c r="W146" s="237" t="str">
        <f>IF(AM146 = "", "", IF(OR($H146 = PARÂMETROS!$E$5, $H146 = ""), AM146, IF(OR(AM146 &lt; (1-VLOOKUP($H146,PARÂMETROS!$E:$F,2,FALSE))*$P146, AM146 &gt; (1+VLOOKUP($H146,PARÂMETROS!$E:$F,2,FALSE))*$P146),"",AM146)))</f>
        <v/>
      </c>
      <c r="X146" s="237" t="str">
        <f>IF(AS146 = "", "", IF(OR($H146 = PARÂMETROS!$E$5, $H146 = ""), AS146, IF(OR(AS146 &lt; (1-VLOOKUP($H146,PARÂMETROS!$E:$F,2,FALSE))*$P146, AS146 &gt; (1+VLOOKUP($H146,PARÂMETROS!$E:$F,2,FALSE))*$P146),"",AS146)))</f>
        <v/>
      </c>
      <c r="Y146" s="237" t="str">
        <f>IF(AY146 = "", "", IF(OR($H146 = PARÂMETROS!$E$5, $H146 = ""), AY146, IF(OR(AY146 &lt; (1-VLOOKUP($H146,PARÂMETROS!$E:$F,2,FALSE))*$P146, AY146 &gt; (1+VLOOKUP($H146,PARÂMETROS!$E:$F,2,FALSE))*$P146),"",AY146)))</f>
        <v/>
      </c>
      <c r="Z146" s="237" t="str">
        <f>IF(BE146 = "", "", IF(OR($H146 = PARÂMETROS!$E$5, $H146 = ""), BE146, IF(OR(BE146 &lt; (1-VLOOKUP($H146,PARÂMETROS!$E:$F,2,FALSE))*$P146, BE146 &gt; (1+VLOOKUP($H146,PARÂMETROS!$E:$F,2,FALSE))*$P146),"",BE146)))</f>
        <v/>
      </c>
      <c r="AA146" s="207"/>
      <c r="AB146" s="208"/>
      <c r="AC146" s="206" t="str">
        <f>IF(AND(OR(AA146="",AA146=0),OR(AA146="",AB146=0)),"",IF(OR(AA146="",AA146=0),"DEFINIR PREÇO",IF(OR(AB146="",AB146=0),"DEFINIR FORNECEDOR",IF(OR(AA146&lt;&gt;"",AA146&lt;&gt;0),VLOOKUP(AB146,#REF!,2,FALSE)))))</f>
        <v/>
      </c>
      <c r="AD146" s="217"/>
      <c r="AE146" s="218"/>
      <c r="AF146" s="220" t="str">
        <f t="shared" ca="1" si="81"/>
        <v/>
      </c>
      <c r="AG146" s="229"/>
      <c r="AH146" s="231"/>
      <c r="AI146" s="206" t="str">
        <f>IF(AND(OR(AG146="",AG146=0),OR(AG146="",AH146=0)),"",IF(OR(AG146="",AG146=0),"DEFINIR PREÇO",IF(OR(AH146="",AH146=0),"DEFINIR FORNECEDOR",IF(OR(AG146&lt;&gt;"",AG146&lt;&gt;0),VLOOKUP(AH146,#REF!,2,FALSE)))))</f>
        <v/>
      </c>
      <c r="AJ146" s="217"/>
      <c r="AK146" s="218"/>
      <c r="AL146" s="220" t="str">
        <f t="shared" ca="1" si="82"/>
        <v/>
      </c>
      <c r="AM146" s="229"/>
      <c r="AN146" s="231"/>
      <c r="AO146" s="206" t="str">
        <f>IF(AND(OR(AM146="",AM146=0),OR(AM146="",AN146=0)),"",IF(OR(AM146="",AM146=0),"DEFINIR PREÇO",IF(OR(AN146="",AN146=0),"DEFINIR FORNECEDOR",IF(OR(AM146&lt;&gt;"",AM146&lt;&gt;0),VLOOKUP(AN146,#REF!,2,FALSE)))))</f>
        <v/>
      </c>
      <c r="AP146" s="217"/>
      <c r="AQ146" s="218"/>
      <c r="AR146" s="220" t="str">
        <f t="shared" ca="1" si="83"/>
        <v/>
      </c>
      <c r="AS146" s="229"/>
      <c r="AT146" s="231"/>
      <c r="AU146" s="194"/>
      <c r="AV146" s="217"/>
      <c r="AW146" s="218"/>
      <c r="AX146" s="220" t="str">
        <f t="shared" ca="1" si="84"/>
        <v/>
      </c>
      <c r="AY146" s="195"/>
      <c r="AZ146" s="196"/>
      <c r="BA146" s="209" t="str">
        <f>IF(AND(OR(AY146="",AY146=0),OR(AY146="",AZ146=0)),"",IF(OR(AY146="",AY146=0),"DEFINIR PREÇO",IF(OR(AZ146="",AZ146=0),"DEFINIR FORNECEDOR",IF(OR(AY146&lt;&gt;"",AY146&lt;&gt;0),VLOOKUP(AZ146,#REF!,2,FALSE)))))</f>
        <v/>
      </c>
      <c r="BB146" s="194"/>
      <c r="BC146" s="194"/>
      <c r="BD146" s="220" t="str">
        <f t="shared" ca="1" si="85"/>
        <v/>
      </c>
      <c r="BE146" s="195"/>
      <c r="BF146" s="196"/>
      <c r="BG146" s="194"/>
      <c r="BH146" s="194"/>
      <c r="BI146" s="194"/>
      <c r="BJ146" s="197"/>
    </row>
    <row r="147" spans="1:62" ht="53.25" customHeight="1" x14ac:dyDescent="0.25">
      <c r="A147" s="44" t="s">
        <v>405</v>
      </c>
      <c r="B147" s="58" t="s">
        <v>340</v>
      </c>
      <c r="C147" s="45">
        <v>5</v>
      </c>
      <c r="D147" s="55" t="s">
        <v>296</v>
      </c>
      <c r="E147" s="45" t="s">
        <v>20</v>
      </c>
      <c r="F147" s="46">
        <v>1693.98</v>
      </c>
      <c r="G147" s="47">
        <v>1693.98</v>
      </c>
      <c r="H147" s="240" t="s">
        <v>2000</v>
      </c>
      <c r="I147" s="240" t="s">
        <v>2001</v>
      </c>
      <c r="J147" s="242">
        <f>IFERROR(IF(N147&lt;&gt;"",M147,IF(I147 = PARÂMETROS!$B$5,Q147, IF(I147 = PARÂMETROS!$B$6,R147,IF(I147 = PARÂMETROS!$B$7,S147,IF(I147 = PARÂMETROS!$B$8, T147,"DEFINIR CRITÉRIO"))))),"SEM PREÇO")</f>
        <v>1693.98</v>
      </c>
      <c r="K147" s="241">
        <f t="shared" si="74"/>
        <v>0</v>
      </c>
      <c r="L147" s="238" t="str">
        <f t="shared" si="75"/>
        <v/>
      </c>
      <c r="M147" s="46">
        <v>1693.98</v>
      </c>
      <c r="N147" s="52" t="s">
        <v>1047</v>
      </c>
      <c r="O147" s="53"/>
      <c r="P147" s="235">
        <f t="shared" si="76"/>
        <v>0</v>
      </c>
      <c r="Q147" s="236">
        <f t="shared" si="77"/>
        <v>0</v>
      </c>
      <c r="R147" s="236">
        <f t="shared" si="78"/>
        <v>0</v>
      </c>
      <c r="S147" s="236">
        <f t="shared" si="79"/>
        <v>0</v>
      </c>
      <c r="T147" s="236">
        <f t="shared" si="80"/>
        <v>0</v>
      </c>
      <c r="U147" s="237" t="str">
        <f>IF(AA147 = "", "", IF(OR($H147 = PARÂMETROS!$E$5, $H147 = ""), AA147, IF(OR(AA147 &lt; (1-VLOOKUP($H147,PARÂMETROS!$E:$F,2,FALSE))*$P147, AA147 &gt; (1+VLOOKUP($H147,PARÂMETROS!$E:$F,2,FALSE))*$P147),"",AA147)))</f>
        <v/>
      </c>
      <c r="V147" s="237" t="str">
        <f>IF(AG147 = "", "", IF(OR($H147 = PARÂMETROS!$E$5, $H147 = ""), AG147, IF(OR(AG147 &lt; (1-VLOOKUP($H147,PARÂMETROS!$E:$F,2,FALSE))*$P152, AG147 &gt; (1+VLOOKUP($H147,PARÂMETROS!$E:$F,2,FALSE))*$P147),"",AG147)))</f>
        <v/>
      </c>
      <c r="W147" s="237" t="str">
        <f>IF(AM147 = "", "", IF(OR($H147 = PARÂMETROS!$E$5, $H147 = ""), AM147, IF(OR(AM147 &lt; (1-VLOOKUP($H147,PARÂMETROS!$E:$F,2,FALSE))*$P147, AM147 &gt; (1+VLOOKUP($H147,PARÂMETROS!$E:$F,2,FALSE))*$P147),"",AM147)))</f>
        <v/>
      </c>
      <c r="X147" s="237" t="str">
        <f>IF(AS147 = "", "", IF(OR($H147 = PARÂMETROS!$E$5, $H147 = ""), AS147, IF(OR(AS147 &lt; (1-VLOOKUP($H147,PARÂMETROS!$E:$F,2,FALSE))*$P147, AS147 &gt; (1+VLOOKUP($H147,PARÂMETROS!$E:$F,2,FALSE))*$P147),"",AS147)))</f>
        <v/>
      </c>
      <c r="Y147" s="237" t="str">
        <f>IF(AY147 = "", "", IF(OR($H147 = PARÂMETROS!$E$5, $H147 = ""), AY147, IF(OR(AY147 &lt; (1-VLOOKUP($H147,PARÂMETROS!$E:$F,2,FALSE))*$P147, AY147 &gt; (1+VLOOKUP($H147,PARÂMETROS!$E:$F,2,FALSE))*$P147),"",AY147)))</f>
        <v/>
      </c>
      <c r="Z147" s="237" t="str">
        <f>IF(BE147 = "", "", IF(OR($H147 = PARÂMETROS!$E$5, $H147 = ""), BE147, IF(OR(BE147 &lt; (1-VLOOKUP($H147,PARÂMETROS!$E:$F,2,FALSE))*$P147, BE147 &gt; (1+VLOOKUP($H147,PARÂMETROS!$E:$F,2,FALSE))*$P147),"",BE147)))</f>
        <v/>
      </c>
      <c r="AA147" s="207"/>
      <c r="AB147" s="208"/>
      <c r="AC147" s="206" t="str">
        <f>IF(AND(OR(AA147="",AA147=0),OR(AA147="",AB147=0)),"",IF(OR(AA147="",AA147=0),"DEFINIR PREÇO",IF(OR(AB147="",AB147=0),"DEFINIR FORNECEDOR",IF(OR(AA147&lt;&gt;"",AA147&lt;&gt;0),VLOOKUP(AB147,#REF!,2,FALSE)))))</f>
        <v/>
      </c>
      <c r="AD147" s="217"/>
      <c r="AE147" s="218"/>
      <c r="AF147" s="220" t="str">
        <f t="shared" ca="1" si="81"/>
        <v/>
      </c>
      <c r="AG147" s="229"/>
      <c r="AH147" s="231"/>
      <c r="AI147" s="206" t="str">
        <f>IF(AND(OR(AG147="",AG147=0),OR(AG147="",AH147=0)),"",IF(OR(AG147="",AG147=0),"DEFINIR PREÇO",IF(OR(AH147="",AH147=0),"DEFINIR FORNECEDOR",IF(OR(AG147&lt;&gt;"",AG147&lt;&gt;0),VLOOKUP(AH147,#REF!,2,FALSE)))))</f>
        <v/>
      </c>
      <c r="AJ147" s="217"/>
      <c r="AK147" s="218"/>
      <c r="AL147" s="220" t="str">
        <f t="shared" ca="1" si="82"/>
        <v/>
      </c>
      <c r="AM147" s="229"/>
      <c r="AN147" s="231"/>
      <c r="AO147" s="206" t="str">
        <f>IF(AND(OR(AM147="",AM147=0),OR(AM147="",AN147=0)),"",IF(OR(AM147="",AM147=0),"DEFINIR PREÇO",IF(OR(AN147="",AN147=0),"DEFINIR FORNECEDOR",IF(OR(AM147&lt;&gt;"",AM147&lt;&gt;0),VLOOKUP(AN147,#REF!,2,FALSE)))))</f>
        <v/>
      </c>
      <c r="AP147" s="217"/>
      <c r="AQ147" s="218"/>
      <c r="AR147" s="220" t="str">
        <f t="shared" ca="1" si="83"/>
        <v/>
      </c>
      <c r="AS147" s="229"/>
      <c r="AT147" s="231"/>
      <c r="AU147" s="194"/>
      <c r="AV147" s="217"/>
      <c r="AW147" s="218"/>
      <c r="AX147" s="220" t="str">
        <f t="shared" ca="1" si="84"/>
        <v/>
      </c>
      <c r="AY147" s="195"/>
      <c r="AZ147" s="196"/>
      <c r="BA147" s="209" t="str">
        <f>IF(AND(OR(AY147="",AY147=0),OR(AY147="",AZ147=0)),"",IF(OR(AY147="",AY147=0),"DEFINIR PREÇO",IF(OR(AZ147="",AZ147=0),"DEFINIR FORNECEDOR",IF(OR(AY147&lt;&gt;"",AY147&lt;&gt;0),VLOOKUP(AZ147,#REF!,2,FALSE)))))</f>
        <v/>
      </c>
      <c r="BB147" s="194"/>
      <c r="BC147" s="194"/>
      <c r="BD147" s="220" t="str">
        <f t="shared" ca="1" si="85"/>
        <v/>
      </c>
      <c r="BE147" s="195"/>
      <c r="BF147" s="196"/>
      <c r="BG147" s="194"/>
      <c r="BH147" s="194"/>
      <c r="BI147" s="194"/>
      <c r="BJ147" s="197"/>
    </row>
    <row r="148" spans="1:62" ht="54.75" customHeight="1" x14ac:dyDescent="0.25">
      <c r="A148" s="44" t="s">
        <v>405</v>
      </c>
      <c r="B148" s="58" t="s">
        <v>341</v>
      </c>
      <c r="C148" s="45">
        <v>5</v>
      </c>
      <c r="D148" s="55" t="s">
        <v>297</v>
      </c>
      <c r="E148" s="45" t="s">
        <v>20</v>
      </c>
      <c r="F148" s="46">
        <v>471.3</v>
      </c>
      <c r="G148" s="47">
        <v>471.3</v>
      </c>
      <c r="H148" s="240" t="s">
        <v>2000</v>
      </c>
      <c r="I148" s="240" t="s">
        <v>2001</v>
      </c>
      <c r="J148" s="242">
        <f>IFERROR(IF(N148&lt;&gt;"",M148,IF(I148 = PARÂMETROS!$B$5,Q148, IF(I148 = PARÂMETROS!$B$6,R148,IF(I148 = PARÂMETROS!$B$7,S148,IF(I148 = PARÂMETROS!$B$8, T148,"DEFINIR CRITÉRIO"))))),"SEM PREÇO")</f>
        <v>471.3</v>
      </c>
      <c r="K148" s="241">
        <f t="shared" si="74"/>
        <v>0</v>
      </c>
      <c r="L148" s="238" t="str">
        <f t="shared" si="75"/>
        <v/>
      </c>
      <c r="M148" s="46">
        <v>471.3</v>
      </c>
      <c r="N148" s="52" t="s">
        <v>1047</v>
      </c>
      <c r="O148" s="53"/>
      <c r="P148" s="235">
        <f t="shared" si="76"/>
        <v>0</v>
      </c>
      <c r="Q148" s="236">
        <f t="shared" si="77"/>
        <v>0</v>
      </c>
      <c r="R148" s="236">
        <f t="shared" si="78"/>
        <v>0</v>
      </c>
      <c r="S148" s="236">
        <f t="shared" si="79"/>
        <v>0</v>
      </c>
      <c r="T148" s="236">
        <f t="shared" si="80"/>
        <v>0</v>
      </c>
      <c r="U148" s="237" t="str">
        <f>IF(AA148 = "", "", IF(OR($H148 = PARÂMETROS!$E$5, $H148 = ""), AA148, IF(OR(AA148 &lt; (1-VLOOKUP($H148,PARÂMETROS!$E:$F,2,FALSE))*$P148, AA148 &gt; (1+VLOOKUP($H148,PARÂMETROS!$E:$F,2,FALSE))*$P148),"",AA148)))</f>
        <v/>
      </c>
      <c r="V148" s="237" t="str">
        <f>IF(AG148 = "", "", IF(OR($H148 = PARÂMETROS!$E$5, $H148 = ""), AG148, IF(OR(AG148 &lt; (1-VLOOKUP($H148,PARÂMETROS!$E:$F,2,FALSE))*$P153, AG148 &gt; (1+VLOOKUP($H148,PARÂMETROS!$E:$F,2,FALSE))*$P148),"",AG148)))</f>
        <v/>
      </c>
      <c r="W148" s="237" t="str">
        <f>IF(AM148 = "", "", IF(OR($H148 = PARÂMETROS!$E$5, $H148 = ""), AM148, IF(OR(AM148 &lt; (1-VLOOKUP($H148,PARÂMETROS!$E:$F,2,FALSE))*$P148, AM148 &gt; (1+VLOOKUP($H148,PARÂMETROS!$E:$F,2,FALSE))*$P148),"",AM148)))</f>
        <v/>
      </c>
      <c r="X148" s="237" t="str">
        <f>IF(AS148 = "", "", IF(OR($H148 = PARÂMETROS!$E$5, $H148 = ""), AS148, IF(OR(AS148 &lt; (1-VLOOKUP($H148,PARÂMETROS!$E:$F,2,FALSE))*$P148, AS148 &gt; (1+VLOOKUP($H148,PARÂMETROS!$E:$F,2,FALSE))*$P148),"",AS148)))</f>
        <v/>
      </c>
      <c r="Y148" s="237" t="str">
        <f>IF(AY148 = "", "", IF(OR($H148 = PARÂMETROS!$E$5, $H148 = ""), AY148, IF(OR(AY148 &lt; (1-VLOOKUP($H148,PARÂMETROS!$E:$F,2,FALSE))*$P148, AY148 &gt; (1+VLOOKUP($H148,PARÂMETROS!$E:$F,2,FALSE))*$P148),"",AY148)))</f>
        <v/>
      </c>
      <c r="Z148" s="237" t="str">
        <f>IF(BE148 = "", "", IF(OR($H148 = PARÂMETROS!$E$5, $H148 = ""), BE148, IF(OR(BE148 &lt; (1-VLOOKUP($H148,PARÂMETROS!$E:$F,2,FALSE))*$P148, BE148 &gt; (1+VLOOKUP($H148,PARÂMETROS!$E:$F,2,FALSE))*$P148),"",BE148)))</f>
        <v/>
      </c>
      <c r="AA148" s="207"/>
      <c r="AB148" s="208"/>
      <c r="AC148" s="206" t="str">
        <f>IF(AND(OR(AA148="",AA148=0),OR(AA148="",AB148=0)),"",IF(OR(AA148="",AA148=0),"DEFINIR PREÇO",IF(OR(AB148="",AB148=0),"DEFINIR FORNECEDOR",IF(OR(AA148&lt;&gt;"",AA148&lt;&gt;0),VLOOKUP(AB148,#REF!,2,FALSE)))))</f>
        <v/>
      </c>
      <c r="AD148" s="217"/>
      <c r="AE148" s="218"/>
      <c r="AF148" s="220" t="str">
        <f t="shared" ca="1" si="81"/>
        <v/>
      </c>
      <c r="AG148" s="229"/>
      <c r="AH148" s="231"/>
      <c r="AI148" s="206" t="str">
        <f>IF(AND(OR(AG148="",AG148=0),OR(AG148="",AH148=0)),"",IF(OR(AG148="",AG148=0),"DEFINIR PREÇO",IF(OR(AH148="",AH148=0),"DEFINIR FORNECEDOR",IF(OR(AG148&lt;&gt;"",AG148&lt;&gt;0),VLOOKUP(AH148,#REF!,2,FALSE)))))</f>
        <v/>
      </c>
      <c r="AJ148" s="217"/>
      <c r="AK148" s="218"/>
      <c r="AL148" s="220" t="str">
        <f t="shared" ca="1" si="82"/>
        <v/>
      </c>
      <c r="AM148" s="229"/>
      <c r="AN148" s="231"/>
      <c r="AO148" s="206" t="str">
        <f>IF(AND(OR(AM148="",AM148=0),OR(AM148="",AN148=0)),"",IF(OR(AM148="",AM148=0),"DEFINIR PREÇO",IF(OR(AN148="",AN148=0),"DEFINIR FORNECEDOR",IF(OR(AM148&lt;&gt;"",AM148&lt;&gt;0),VLOOKUP(AN148,#REF!,2,FALSE)))))</f>
        <v/>
      </c>
      <c r="AP148" s="217"/>
      <c r="AQ148" s="218"/>
      <c r="AR148" s="220" t="str">
        <f t="shared" ca="1" si="83"/>
        <v/>
      </c>
      <c r="AS148" s="229"/>
      <c r="AT148" s="231"/>
      <c r="AU148" s="194"/>
      <c r="AV148" s="217"/>
      <c r="AW148" s="218"/>
      <c r="AX148" s="220" t="str">
        <f t="shared" ca="1" si="84"/>
        <v/>
      </c>
      <c r="AY148" s="195"/>
      <c r="AZ148" s="196"/>
      <c r="BA148" s="209" t="str">
        <f>IF(AND(OR(AY148="",AY148=0),OR(AY148="",AZ148=0)),"",IF(OR(AY148="",AY148=0),"DEFINIR PREÇO",IF(OR(AZ148="",AZ148=0),"DEFINIR FORNECEDOR",IF(OR(AY148&lt;&gt;"",AY148&lt;&gt;0),VLOOKUP(AZ148,#REF!,2,FALSE)))))</f>
        <v/>
      </c>
      <c r="BB148" s="194"/>
      <c r="BC148" s="194"/>
      <c r="BD148" s="220" t="str">
        <f t="shared" ca="1" si="85"/>
        <v/>
      </c>
      <c r="BE148" s="195"/>
      <c r="BF148" s="196"/>
      <c r="BG148" s="194"/>
      <c r="BH148" s="194"/>
      <c r="BI148" s="194"/>
      <c r="BJ148" s="197"/>
    </row>
    <row r="149" spans="1:62" ht="66" customHeight="1" x14ac:dyDescent="0.25">
      <c r="A149" s="44" t="s">
        <v>405</v>
      </c>
      <c r="B149" s="58" t="s">
        <v>342</v>
      </c>
      <c r="C149" s="45">
        <v>5</v>
      </c>
      <c r="D149" s="55" t="s">
        <v>298</v>
      </c>
      <c r="E149" s="45" t="s">
        <v>20</v>
      </c>
      <c r="F149" s="46">
        <v>579.41</v>
      </c>
      <c r="G149" s="47">
        <v>579.41</v>
      </c>
      <c r="H149" s="240" t="s">
        <v>2000</v>
      </c>
      <c r="I149" s="240" t="s">
        <v>2001</v>
      </c>
      <c r="J149" s="242">
        <f>IFERROR(IF(N149&lt;&gt;"",M149,IF(I149 = PARÂMETROS!$B$5,Q149, IF(I149 = PARÂMETROS!$B$6,R149,IF(I149 = PARÂMETROS!$B$7,S149,IF(I149 = PARÂMETROS!$B$8, T149,"DEFINIR CRITÉRIO"))))),"SEM PREÇO")</f>
        <v>579.41</v>
      </c>
      <c r="K149" s="241">
        <f t="shared" si="74"/>
        <v>0</v>
      </c>
      <c r="L149" s="238" t="str">
        <f t="shared" si="75"/>
        <v/>
      </c>
      <c r="M149" s="46">
        <v>579.41</v>
      </c>
      <c r="N149" s="52" t="s">
        <v>1047</v>
      </c>
      <c r="O149" s="53"/>
      <c r="P149" s="235">
        <f t="shared" si="76"/>
        <v>0</v>
      </c>
      <c r="Q149" s="236">
        <f t="shared" si="77"/>
        <v>0</v>
      </c>
      <c r="R149" s="236">
        <f t="shared" si="78"/>
        <v>0</v>
      </c>
      <c r="S149" s="236">
        <f t="shared" si="79"/>
        <v>0</v>
      </c>
      <c r="T149" s="236">
        <f t="shared" si="80"/>
        <v>0</v>
      </c>
      <c r="U149" s="237" t="str">
        <f>IF(AA149 = "", "", IF(OR($H149 = PARÂMETROS!$E$5, $H149 = ""), AA149, IF(OR(AA149 &lt; (1-VLOOKUP($H149,PARÂMETROS!$E:$F,2,FALSE))*$P149, AA149 &gt; (1+VLOOKUP($H149,PARÂMETROS!$E:$F,2,FALSE))*$P149),"",AA149)))</f>
        <v/>
      </c>
      <c r="V149" s="237" t="str">
        <f>IF(AG149 = "", "", IF(OR($H149 = PARÂMETROS!$E$5, $H149 = ""), AG149, IF(OR(AG149 &lt; (1-VLOOKUP($H149,PARÂMETROS!$E:$F,2,FALSE))*$P154, AG149 &gt; (1+VLOOKUP($H149,PARÂMETROS!$E:$F,2,FALSE))*$P149),"",AG149)))</f>
        <v/>
      </c>
      <c r="W149" s="237" t="str">
        <f>IF(AM149 = "", "", IF(OR($H149 = PARÂMETROS!$E$5, $H149 = ""), AM149, IF(OR(AM149 &lt; (1-VLOOKUP($H149,PARÂMETROS!$E:$F,2,FALSE))*$P149, AM149 &gt; (1+VLOOKUP($H149,PARÂMETROS!$E:$F,2,FALSE))*$P149),"",AM149)))</f>
        <v/>
      </c>
      <c r="X149" s="237" t="str">
        <f>IF(AS149 = "", "", IF(OR($H149 = PARÂMETROS!$E$5, $H149 = ""), AS149, IF(OR(AS149 &lt; (1-VLOOKUP($H149,PARÂMETROS!$E:$F,2,FALSE))*$P149, AS149 &gt; (1+VLOOKUP($H149,PARÂMETROS!$E:$F,2,FALSE))*$P149),"",AS149)))</f>
        <v/>
      </c>
      <c r="Y149" s="237" t="str">
        <f>IF(AY149 = "", "", IF(OR($H149 = PARÂMETROS!$E$5, $H149 = ""), AY149, IF(OR(AY149 &lt; (1-VLOOKUP($H149,PARÂMETROS!$E:$F,2,FALSE))*$P149, AY149 &gt; (1+VLOOKUP($H149,PARÂMETROS!$E:$F,2,FALSE))*$P149),"",AY149)))</f>
        <v/>
      </c>
      <c r="Z149" s="237" t="str">
        <f>IF(BE149 = "", "", IF(OR($H149 = PARÂMETROS!$E$5, $H149 = ""), BE149, IF(OR(BE149 &lt; (1-VLOOKUP($H149,PARÂMETROS!$E:$F,2,FALSE))*$P149, BE149 &gt; (1+VLOOKUP($H149,PARÂMETROS!$E:$F,2,FALSE))*$P149),"",BE149)))</f>
        <v/>
      </c>
      <c r="AA149" s="207"/>
      <c r="AB149" s="208"/>
      <c r="AC149" s="206" t="str">
        <f>IF(AND(OR(AA149="",AA149=0),OR(AA149="",AB149=0)),"",IF(OR(AA149="",AA149=0),"DEFINIR PREÇO",IF(OR(AB149="",AB149=0),"DEFINIR FORNECEDOR",IF(OR(AA149&lt;&gt;"",AA149&lt;&gt;0),VLOOKUP(AB149,#REF!,2,FALSE)))))</f>
        <v/>
      </c>
      <c r="AD149" s="217"/>
      <c r="AE149" s="218"/>
      <c r="AF149" s="220" t="str">
        <f t="shared" ca="1" si="81"/>
        <v/>
      </c>
      <c r="AG149" s="229"/>
      <c r="AH149" s="231"/>
      <c r="AI149" s="206" t="str">
        <f>IF(AND(OR(AG149="",AG149=0),OR(AG149="",AH149=0)),"",IF(OR(AG149="",AG149=0),"DEFINIR PREÇO",IF(OR(AH149="",AH149=0),"DEFINIR FORNECEDOR",IF(OR(AG149&lt;&gt;"",AG149&lt;&gt;0),VLOOKUP(AH149,#REF!,2,FALSE)))))</f>
        <v/>
      </c>
      <c r="AJ149" s="217"/>
      <c r="AK149" s="218"/>
      <c r="AL149" s="220" t="str">
        <f t="shared" ca="1" si="82"/>
        <v/>
      </c>
      <c r="AM149" s="229"/>
      <c r="AN149" s="231"/>
      <c r="AO149" s="206" t="str">
        <f>IF(AND(OR(AM149="",AM149=0),OR(AM149="",AN149=0)),"",IF(OR(AM149="",AM149=0),"DEFINIR PREÇO",IF(OR(AN149="",AN149=0),"DEFINIR FORNECEDOR",IF(OR(AM149&lt;&gt;"",AM149&lt;&gt;0),VLOOKUP(AN149,#REF!,2,FALSE)))))</f>
        <v/>
      </c>
      <c r="AP149" s="217"/>
      <c r="AQ149" s="218"/>
      <c r="AR149" s="220" t="str">
        <f t="shared" ca="1" si="83"/>
        <v/>
      </c>
      <c r="AS149" s="229"/>
      <c r="AT149" s="231"/>
      <c r="AU149" s="194"/>
      <c r="AV149" s="217"/>
      <c r="AW149" s="218"/>
      <c r="AX149" s="220" t="str">
        <f t="shared" ca="1" si="84"/>
        <v/>
      </c>
      <c r="AY149" s="195"/>
      <c r="AZ149" s="196"/>
      <c r="BA149" s="209" t="str">
        <f>IF(AND(OR(AY149="",AY149=0),OR(AY149="",AZ149=0)),"",IF(OR(AY149="",AY149=0),"DEFINIR PREÇO",IF(OR(AZ149="",AZ149=0),"DEFINIR FORNECEDOR",IF(OR(AY149&lt;&gt;"",AY149&lt;&gt;0),VLOOKUP(AZ149,#REF!,2,FALSE)))))</f>
        <v/>
      </c>
      <c r="BB149" s="194"/>
      <c r="BC149" s="194"/>
      <c r="BD149" s="220" t="str">
        <f t="shared" ca="1" si="85"/>
        <v/>
      </c>
      <c r="BE149" s="195"/>
      <c r="BF149" s="196"/>
      <c r="BG149" s="194"/>
      <c r="BH149" s="194"/>
      <c r="BI149" s="194"/>
      <c r="BJ149" s="197"/>
    </row>
    <row r="150" spans="1:62" ht="38.25" x14ac:dyDescent="0.25">
      <c r="A150" s="44" t="s">
        <v>405</v>
      </c>
      <c r="B150" s="58" t="s">
        <v>343</v>
      </c>
      <c r="C150" s="45">
        <v>5</v>
      </c>
      <c r="D150" s="55" t="s">
        <v>299</v>
      </c>
      <c r="E150" s="45" t="s">
        <v>20</v>
      </c>
      <c r="F150" s="46">
        <v>323.18</v>
      </c>
      <c r="G150" s="47">
        <v>323.18</v>
      </c>
      <c r="H150" s="240" t="s">
        <v>2000</v>
      </c>
      <c r="I150" s="240" t="s">
        <v>2001</v>
      </c>
      <c r="J150" s="242">
        <f>IFERROR(IF(N150&lt;&gt;"",M150,IF(I150 = PARÂMETROS!$B$5,Q150, IF(I150 = PARÂMETROS!$B$6,R150,IF(I150 = PARÂMETROS!$B$7,S150,IF(I150 = PARÂMETROS!$B$8, T150,"DEFINIR CRITÉRIO"))))),"SEM PREÇO")</f>
        <v>323.18</v>
      </c>
      <c r="K150" s="241">
        <f t="shared" si="74"/>
        <v>0</v>
      </c>
      <c r="L150" s="238" t="str">
        <f t="shared" si="75"/>
        <v/>
      </c>
      <c r="M150" s="46">
        <v>323.18</v>
      </c>
      <c r="N150" s="52" t="s">
        <v>1047</v>
      </c>
      <c r="O150" s="53"/>
      <c r="P150" s="235">
        <f t="shared" si="76"/>
        <v>0</v>
      </c>
      <c r="Q150" s="236">
        <f t="shared" si="77"/>
        <v>0</v>
      </c>
      <c r="R150" s="236">
        <f t="shared" si="78"/>
        <v>0</v>
      </c>
      <c r="S150" s="236">
        <f t="shared" si="79"/>
        <v>0</v>
      </c>
      <c r="T150" s="236">
        <f t="shared" si="80"/>
        <v>0</v>
      </c>
      <c r="U150" s="237" t="str">
        <f>IF(AA150 = "", "", IF(OR($H150 = PARÂMETROS!$E$5, $H150 = ""), AA150, IF(OR(AA150 &lt; (1-VLOOKUP($H150,PARÂMETROS!$E:$F,2,FALSE))*$P150, AA150 &gt; (1+VLOOKUP($H150,PARÂMETROS!$E:$F,2,FALSE))*$P150),"",AA150)))</f>
        <v/>
      </c>
      <c r="V150" s="237" t="str">
        <f>IF(AG150 = "", "", IF(OR($H150 = PARÂMETROS!$E$5, $H150 = ""), AG150, IF(OR(AG150 &lt; (1-VLOOKUP($H150,PARÂMETROS!$E:$F,2,FALSE))*$P155, AG150 &gt; (1+VLOOKUP($H150,PARÂMETROS!$E:$F,2,FALSE))*$P150),"",AG150)))</f>
        <v/>
      </c>
      <c r="W150" s="237" t="str">
        <f>IF(AM150 = "", "", IF(OR($H150 = PARÂMETROS!$E$5, $H150 = ""), AM150, IF(OR(AM150 &lt; (1-VLOOKUP($H150,PARÂMETROS!$E:$F,2,FALSE))*$P150, AM150 &gt; (1+VLOOKUP($H150,PARÂMETROS!$E:$F,2,FALSE))*$P150),"",AM150)))</f>
        <v/>
      </c>
      <c r="X150" s="237" t="str">
        <f>IF(AS150 = "", "", IF(OR($H150 = PARÂMETROS!$E$5, $H150 = ""), AS150, IF(OR(AS150 &lt; (1-VLOOKUP($H150,PARÂMETROS!$E:$F,2,FALSE))*$P150, AS150 &gt; (1+VLOOKUP($H150,PARÂMETROS!$E:$F,2,FALSE))*$P150),"",AS150)))</f>
        <v/>
      </c>
      <c r="Y150" s="237" t="str">
        <f>IF(AY150 = "", "", IF(OR($H150 = PARÂMETROS!$E$5, $H150 = ""), AY150, IF(OR(AY150 &lt; (1-VLOOKUP($H150,PARÂMETROS!$E:$F,2,FALSE))*$P150, AY150 &gt; (1+VLOOKUP($H150,PARÂMETROS!$E:$F,2,FALSE))*$P150),"",AY150)))</f>
        <v/>
      </c>
      <c r="Z150" s="237" t="str">
        <f>IF(BE150 = "", "", IF(OR($H150 = PARÂMETROS!$E$5, $H150 = ""), BE150, IF(OR(BE150 &lt; (1-VLOOKUP($H150,PARÂMETROS!$E:$F,2,FALSE))*$P150, BE150 &gt; (1+VLOOKUP($H150,PARÂMETROS!$E:$F,2,FALSE))*$P150),"",BE150)))</f>
        <v/>
      </c>
      <c r="AA150" s="207"/>
      <c r="AB150" s="208"/>
      <c r="AC150" s="206" t="str">
        <f>IF(AND(OR(AA150="",AA150=0),OR(AA150="",AB150=0)),"",IF(OR(AA150="",AA150=0),"DEFINIR PREÇO",IF(OR(AB150="",AB150=0),"DEFINIR FORNECEDOR",IF(OR(AA150&lt;&gt;"",AA150&lt;&gt;0),VLOOKUP(AB150,#REF!,2,FALSE)))))</f>
        <v/>
      </c>
      <c r="AD150" s="217"/>
      <c r="AE150" s="218"/>
      <c r="AF150" s="220" t="str">
        <f t="shared" ca="1" si="81"/>
        <v/>
      </c>
      <c r="AG150" s="229"/>
      <c r="AH150" s="231"/>
      <c r="AI150" s="206" t="str">
        <f>IF(AND(OR(AG150="",AG150=0),OR(AG150="",AH150=0)),"",IF(OR(AG150="",AG150=0),"DEFINIR PREÇO",IF(OR(AH150="",AH150=0),"DEFINIR FORNECEDOR",IF(OR(AG150&lt;&gt;"",AG150&lt;&gt;0),VLOOKUP(AH150,#REF!,2,FALSE)))))</f>
        <v/>
      </c>
      <c r="AJ150" s="217"/>
      <c r="AK150" s="218"/>
      <c r="AL150" s="220" t="str">
        <f t="shared" ca="1" si="82"/>
        <v/>
      </c>
      <c r="AM150" s="229"/>
      <c r="AN150" s="231"/>
      <c r="AO150" s="206" t="str">
        <f>IF(AND(OR(AM150="",AM150=0),OR(AM150="",AN150=0)),"",IF(OR(AM150="",AM150=0),"DEFINIR PREÇO",IF(OR(AN150="",AN150=0),"DEFINIR FORNECEDOR",IF(OR(AM150&lt;&gt;"",AM150&lt;&gt;0),VLOOKUP(AN150,#REF!,2,FALSE)))))</f>
        <v/>
      </c>
      <c r="AP150" s="217"/>
      <c r="AQ150" s="218"/>
      <c r="AR150" s="220" t="str">
        <f t="shared" ca="1" si="83"/>
        <v/>
      </c>
      <c r="AS150" s="229"/>
      <c r="AT150" s="231"/>
      <c r="AU150" s="194"/>
      <c r="AV150" s="217"/>
      <c r="AW150" s="218"/>
      <c r="AX150" s="220" t="str">
        <f t="shared" ca="1" si="84"/>
        <v/>
      </c>
      <c r="AY150" s="195"/>
      <c r="AZ150" s="196"/>
      <c r="BA150" s="209" t="str">
        <f>IF(AND(OR(AY150="",AY150=0),OR(AY150="",AZ150=0)),"",IF(OR(AY150="",AY150=0),"DEFINIR PREÇO",IF(OR(AZ150="",AZ150=0),"DEFINIR FORNECEDOR",IF(OR(AY150&lt;&gt;"",AY150&lt;&gt;0),VLOOKUP(AZ150,#REF!,2,FALSE)))))</f>
        <v/>
      </c>
      <c r="BB150" s="194"/>
      <c r="BC150" s="194"/>
      <c r="BD150" s="220" t="str">
        <f t="shared" ca="1" si="85"/>
        <v/>
      </c>
      <c r="BE150" s="195"/>
      <c r="BF150" s="196"/>
      <c r="BG150" s="194"/>
      <c r="BH150" s="194"/>
      <c r="BI150" s="194"/>
      <c r="BJ150" s="197"/>
    </row>
    <row r="151" spans="1:62" ht="38.25" x14ac:dyDescent="0.25">
      <c r="A151" s="44" t="s">
        <v>405</v>
      </c>
      <c r="B151" s="58" t="s">
        <v>344</v>
      </c>
      <c r="C151" s="45">
        <v>5</v>
      </c>
      <c r="D151" s="55" t="s">
        <v>300</v>
      </c>
      <c r="E151" s="45" t="s">
        <v>283</v>
      </c>
      <c r="F151" s="46">
        <v>269.31</v>
      </c>
      <c r="G151" s="47">
        <v>269.31</v>
      </c>
      <c r="H151" s="240" t="s">
        <v>2000</v>
      </c>
      <c r="I151" s="240" t="s">
        <v>2001</v>
      </c>
      <c r="J151" s="242">
        <f>IFERROR(IF(N151&lt;&gt;"",M151,IF(I151 = PARÂMETROS!$B$5,Q151, IF(I151 = PARÂMETROS!$B$6,R151,IF(I151 = PARÂMETROS!$B$7,S151,IF(I151 = PARÂMETROS!$B$8, T151,"DEFINIR CRITÉRIO"))))),"SEM PREÇO")</f>
        <v>269.31</v>
      </c>
      <c r="K151" s="241">
        <f t="shared" si="74"/>
        <v>0</v>
      </c>
      <c r="L151" s="238" t="str">
        <f t="shared" si="75"/>
        <v/>
      </c>
      <c r="M151" s="46">
        <v>269.31</v>
      </c>
      <c r="N151" s="52" t="s">
        <v>1047</v>
      </c>
      <c r="O151" s="53"/>
      <c r="P151" s="235">
        <f t="shared" si="76"/>
        <v>0</v>
      </c>
      <c r="Q151" s="236">
        <f t="shared" si="77"/>
        <v>0</v>
      </c>
      <c r="R151" s="236">
        <f t="shared" si="78"/>
        <v>0</v>
      </c>
      <c r="S151" s="236">
        <f t="shared" si="79"/>
        <v>0</v>
      </c>
      <c r="T151" s="236">
        <f t="shared" si="80"/>
        <v>0</v>
      </c>
      <c r="U151" s="237" t="str">
        <f>IF(AA151 = "", "", IF(OR($H151 = PARÂMETROS!$E$5, $H151 = ""), AA151, IF(OR(AA151 &lt; (1-VLOOKUP($H151,PARÂMETROS!$E:$F,2,FALSE))*$P151, AA151 &gt; (1+VLOOKUP($H151,PARÂMETROS!$E:$F,2,FALSE))*$P151),"",AA151)))</f>
        <v/>
      </c>
      <c r="V151" s="237" t="str">
        <f>IF(AG151 = "", "", IF(OR($H151 = PARÂMETROS!$E$5, $H151 = ""), AG151, IF(OR(AG151 &lt; (1-VLOOKUP($H151,PARÂMETROS!$E:$F,2,FALSE))*$P156, AG151 &gt; (1+VLOOKUP($H151,PARÂMETROS!$E:$F,2,FALSE))*$P151),"",AG151)))</f>
        <v/>
      </c>
      <c r="W151" s="237" t="str">
        <f>IF(AM151 = "", "", IF(OR($H151 = PARÂMETROS!$E$5, $H151 = ""), AM151, IF(OR(AM151 &lt; (1-VLOOKUP($H151,PARÂMETROS!$E:$F,2,FALSE))*$P151, AM151 &gt; (1+VLOOKUP($H151,PARÂMETROS!$E:$F,2,FALSE))*$P151),"",AM151)))</f>
        <v/>
      </c>
      <c r="X151" s="237" t="str">
        <f>IF(AS151 = "", "", IF(OR($H151 = PARÂMETROS!$E$5, $H151 = ""), AS151, IF(OR(AS151 &lt; (1-VLOOKUP($H151,PARÂMETROS!$E:$F,2,FALSE))*$P151, AS151 &gt; (1+VLOOKUP($H151,PARÂMETROS!$E:$F,2,FALSE))*$P151),"",AS151)))</f>
        <v/>
      </c>
      <c r="Y151" s="237" t="str">
        <f>IF(AY151 = "", "", IF(OR($H151 = PARÂMETROS!$E$5, $H151 = ""), AY151, IF(OR(AY151 &lt; (1-VLOOKUP($H151,PARÂMETROS!$E:$F,2,FALSE))*$P151, AY151 &gt; (1+VLOOKUP($H151,PARÂMETROS!$E:$F,2,FALSE))*$P151),"",AY151)))</f>
        <v/>
      </c>
      <c r="Z151" s="237" t="str">
        <f>IF(BE151 = "", "", IF(OR($H151 = PARÂMETROS!$E$5, $H151 = ""), BE151, IF(OR(BE151 &lt; (1-VLOOKUP($H151,PARÂMETROS!$E:$F,2,FALSE))*$P151, BE151 &gt; (1+VLOOKUP($H151,PARÂMETROS!$E:$F,2,FALSE))*$P151),"",BE151)))</f>
        <v/>
      </c>
      <c r="AA151" s="207"/>
      <c r="AB151" s="208"/>
      <c r="AC151" s="206" t="str">
        <f>IF(AND(OR(AA151="",AA151=0),OR(AA151="",AB151=0)),"",IF(OR(AA151="",AA151=0),"DEFINIR PREÇO",IF(OR(AB151="",AB151=0),"DEFINIR FORNECEDOR",IF(OR(AA151&lt;&gt;"",AA151&lt;&gt;0),VLOOKUP(AB151,#REF!,2,FALSE)))))</f>
        <v/>
      </c>
      <c r="AD151" s="217"/>
      <c r="AE151" s="218"/>
      <c r="AF151" s="220" t="str">
        <f t="shared" ca="1" si="81"/>
        <v/>
      </c>
      <c r="AG151" s="229"/>
      <c r="AH151" s="231"/>
      <c r="AI151" s="206" t="str">
        <f>IF(AND(OR(AG151="",AG151=0),OR(AG151="",AH151=0)),"",IF(OR(AG151="",AG151=0),"DEFINIR PREÇO",IF(OR(AH151="",AH151=0),"DEFINIR FORNECEDOR",IF(OR(AG151&lt;&gt;"",AG151&lt;&gt;0),VLOOKUP(AH151,#REF!,2,FALSE)))))</f>
        <v/>
      </c>
      <c r="AJ151" s="217"/>
      <c r="AK151" s="218"/>
      <c r="AL151" s="220" t="str">
        <f t="shared" ca="1" si="82"/>
        <v/>
      </c>
      <c r="AM151" s="229"/>
      <c r="AN151" s="231"/>
      <c r="AO151" s="206" t="str">
        <f>IF(AND(OR(AM151="",AM151=0),OR(AM151="",AN151=0)),"",IF(OR(AM151="",AM151=0),"DEFINIR PREÇO",IF(OR(AN151="",AN151=0),"DEFINIR FORNECEDOR",IF(OR(AM151&lt;&gt;"",AM151&lt;&gt;0),VLOOKUP(AN151,#REF!,2,FALSE)))))</f>
        <v/>
      </c>
      <c r="AP151" s="217"/>
      <c r="AQ151" s="218"/>
      <c r="AR151" s="220" t="str">
        <f t="shared" ca="1" si="83"/>
        <v/>
      </c>
      <c r="AS151" s="229"/>
      <c r="AT151" s="231"/>
      <c r="AU151" s="194"/>
      <c r="AV151" s="217"/>
      <c r="AW151" s="218"/>
      <c r="AX151" s="220" t="str">
        <f t="shared" ca="1" si="84"/>
        <v/>
      </c>
      <c r="AY151" s="195"/>
      <c r="AZ151" s="196"/>
      <c r="BA151" s="209" t="str">
        <f>IF(AND(OR(AY151="",AY151=0),OR(AY151="",AZ151=0)),"",IF(OR(AY151="",AY151=0),"DEFINIR PREÇO",IF(OR(AZ151="",AZ151=0),"DEFINIR FORNECEDOR",IF(OR(AY151&lt;&gt;"",AY151&lt;&gt;0),VLOOKUP(AZ151,#REF!,2,FALSE)))))</f>
        <v/>
      </c>
      <c r="BB151" s="194"/>
      <c r="BC151" s="194"/>
      <c r="BD151" s="220" t="str">
        <f t="shared" ca="1" si="85"/>
        <v/>
      </c>
      <c r="BE151" s="195"/>
      <c r="BF151" s="196"/>
      <c r="BG151" s="194"/>
      <c r="BH151" s="194"/>
      <c r="BI151" s="194"/>
      <c r="BJ151" s="197"/>
    </row>
    <row r="152" spans="1:62" ht="25.5" x14ac:dyDescent="0.25">
      <c r="A152" s="44" t="s">
        <v>405</v>
      </c>
      <c r="B152" s="58" t="s">
        <v>345</v>
      </c>
      <c r="C152" s="45">
        <v>5</v>
      </c>
      <c r="D152" s="55" t="s">
        <v>301</v>
      </c>
      <c r="E152" s="45" t="s">
        <v>283</v>
      </c>
      <c r="F152" s="46">
        <v>307.79000000000002</v>
      </c>
      <c r="G152" s="47">
        <v>307.79000000000002</v>
      </c>
      <c r="H152" s="240" t="s">
        <v>2000</v>
      </c>
      <c r="I152" s="240" t="s">
        <v>2001</v>
      </c>
      <c r="J152" s="242">
        <f>IFERROR(IF(N152&lt;&gt;"",M152,IF(I152 = PARÂMETROS!$B$5,Q152, IF(I152 = PARÂMETROS!$B$6,R152,IF(I152 = PARÂMETROS!$B$7,S152,IF(I152 = PARÂMETROS!$B$8, T152,"DEFINIR CRITÉRIO"))))),"SEM PREÇO")</f>
        <v>307.79000000000002</v>
      </c>
      <c r="K152" s="241">
        <f t="shared" si="74"/>
        <v>0</v>
      </c>
      <c r="L152" s="238" t="str">
        <f t="shared" si="75"/>
        <v/>
      </c>
      <c r="M152" s="46">
        <v>307.79000000000002</v>
      </c>
      <c r="N152" s="52" t="s">
        <v>1047</v>
      </c>
      <c r="O152" s="53"/>
      <c r="P152" s="235">
        <f t="shared" si="76"/>
        <v>0</v>
      </c>
      <c r="Q152" s="236">
        <f t="shared" si="77"/>
        <v>0</v>
      </c>
      <c r="R152" s="236">
        <f t="shared" si="78"/>
        <v>0</v>
      </c>
      <c r="S152" s="236">
        <f t="shared" si="79"/>
        <v>0</v>
      </c>
      <c r="T152" s="236">
        <f t="shared" si="80"/>
        <v>0</v>
      </c>
      <c r="U152" s="237" t="str">
        <f>IF(AA152 = "", "", IF(OR($H152 = PARÂMETROS!$E$5, $H152 = ""), AA152, IF(OR(AA152 &lt; (1-VLOOKUP($H152,PARÂMETROS!$E:$F,2,FALSE))*$P152, AA152 &gt; (1+VLOOKUP($H152,PARÂMETROS!$E:$F,2,FALSE))*$P152),"",AA152)))</f>
        <v/>
      </c>
      <c r="V152" s="237" t="str">
        <f>IF(AG152 = "", "", IF(OR($H152 = PARÂMETROS!$E$5, $H152 = ""), AG152, IF(OR(AG152 &lt; (1-VLOOKUP($H152,PARÂMETROS!$E:$F,2,FALSE))*$P157, AG152 &gt; (1+VLOOKUP($H152,PARÂMETROS!$E:$F,2,FALSE))*$P152),"",AG152)))</f>
        <v/>
      </c>
      <c r="W152" s="237" t="str">
        <f>IF(AM152 = "", "", IF(OR($H152 = PARÂMETROS!$E$5, $H152 = ""), AM152, IF(OR(AM152 &lt; (1-VLOOKUP($H152,PARÂMETROS!$E:$F,2,FALSE))*$P152, AM152 &gt; (1+VLOOKUP($H152,PARÂMETROS!$E:$F,2,FALSE))*$P152),"",AM152)))</f>
        <v/>
      </c>
      <c r="X152" s="237" t="str">
        <f>IF(AS152 = "", "", IF(OR($H152 = PARÂMETROS!$E$5, $H152 = ""), AS152, IF(OR(AS152 &lt; (1-VLOOKUP($H152,PARÂMETROS!$E:$F,2,FALSE))*$P152, AS152 &gt; (1+VLOOKUP($H152,PARÂMETROS!$E:$F,2,FALSE))*$P152),"",AS152)))</f>
        <v/>
      </c>
      <c r="Y152" s="237" t="str">
        <f>IF(AY152 = "", "", IF(OR($H152 = PARÂMETROS!$E$5, $H152 = ""), AY152, IF(OR(AY152 &lt; (1-VLOOKUP($H152,PARÂMETROS!$E:$F,2,FALSE))*$P152, AY152 &gt; (1+VLOOKUP($H152,PARÂMETROS!$E:$F,2,FALSE))*$P152),"",AY152)))</f>
        <v/>
      </c>
      <c r="Z152" s="237" t="str">
        <f>IF(BE152 = "", "", IF(OR($H152 = PARÂMETROS!$E$5, $H152 = ""), BE152, IF(OR(BE152 &lt; (1-VLOOKUP($H152,PARÂMETROS!$E:$F,2,FALSE))*$P152, BE152 &gt; (1+VLOOKUP($H152,PARÂMETROS!$E:$F,2,FALSE))*$P152),"",BE152)))</f>
        <v/>
      </c>
      <c r="AA152" s="207"/>
      <c r="AB152" s="208"/>
      <c r="AC152" s="206" t="str">
        <f>IF(AND(OR(AA152="",AA152=0),OR(AA152="",AB152=0)),"",IF(OR(AA152="",AA152=0),"DEFINIR PREÇO",IF(OR(AB152="",AB152=0),"DEFINIR FORNECEDOR",IF(OR(AA152&lt;&gt;"",AA152&lt;&gt;0),VLOOKUP(AB152,#REF!,2,FALSE)))))</f>
        <v/>
      </c>
      <c r="AD152" s="217"/>
      <c r="AE152" s="218"/>
      <c r="AF152" s="220" t="str">
        <f t="shared" ca="1" si="81"/>
        <v/>
      </c>
      <c r="AG152" s="229"/>
      <c r="AH152" s="231"/>
      <c r="AI152" s="206" t="str">
        <f>IF(AND(OR(AG152="",AG152=0),OR(AG152="",AH152=0)),"",IF(OR(AG152="",AG152=0),"DEFINIR PREÇO",IF(OR(AH152="",AH152=0),"DEFINIR FORNECEDOR",IF(OR(AG152&lt;&gt;"",AG152&lt;&gt;0),VLOOKUP(AH152,#REF!,2,FALSE)))))</f>
        <v/>
      </c>
      <c r="AJ152" s="217"/>
      <c r="AK152" s="218"/>
      <c r="AL152" s="220" t="str">
        <f t="shared" ca="1" si="82"/>
        <v/>
      </c>
      <c r="AM152" s="229"/>
      <c r="AN152" s="231"/>
      <c r="AO152" s="206" t="str">
        <f>IF(AND(OR(AM152="",AM152=0),OR(AM152="",AN152=0)),"",IF(OR(AM152="",AM152=0),"DEFINIR PREÇO",IF(OR(AN152="",AN152=0),"DEFINIR FORNECEDOR",IF(OR(AM152&lt;&gt;"",AM152&lt;&gt;0),VLOOKUP(AN152,#REF!,2,FALSE)))))</f>
        <v/>
      </c>
      <c r="AP152" s="217"/>
      <c r="AQ152" s="218"/>
      <c r="AR152" s="220" t="str">
        <f t="shared" ca="1" si="83"/>
        <v/>
      </c>
      <c r="AS152" s="229"/>
      <c r="AT152" s="231"/>
      <c r="AU152" s="194"/>
      <c r="AV152" s="217"/>
      <c r="AW152" s="218"/>
      <c r="AX152" s="220" t="str">
        <f t="shared" ca="1" si="84"/>
        <v/>
      </c>
      <c r="AY152" s="195"/>
      <c r="AZ152" s="196"/>
      <c r="BA152" s="209" t="str">
        <f>IF(AND(OR(AY152="",AY152=0),OR(AY152="",AZ152=0)),"",IF(OR(AY152="",AY152=0),"DEFINIR PREÇO",IF(OR(AZ152="",AZ152=0),"DEFINIR FORNECEDOR",IF(OR(AY152&lt;&gt;"",AY152&lt;&gt;0),VLOOKUP(AZ152,#REF!,2,FALSE)))))</f>
        <v/>
      </c>
      <c r="BB152" s="194"/>
      <c r="BC152" s="194"/>
      <c r="BD152" s="220" t="str">
        <f t="shared" ca="1" si="85"/>
        <v/>
      </c>
      <c r="BE152" s="195"/>
      <c r="BF152" s="196"/>
      <c r="BG152" s="194"/>
      <c r="BH152" s="194"/>
      <c r="BI152" s="194"/>
      <c r="BJ152" s="197"/>
    </row>
    <row r="153" spans="1:62" ht="25.5" x14ac:dyDescent="0.25">
      <c r="A153" s="44" t="s">
        <v>405</v>
      </c>
      <c r="B153" s="58" t="s">
        <v>346</v>
      </c>
      <c r="C153" s="45">
        <v>5</v>
      </c>
      <c r="D153" s="55" t="s">
        <v>302</v>
      </c>
      <c r="E153" s="45" t="s">
        <v>34</v>
      </c>
      <c r="F153" s="46">
        <v>1461.99</v>
      </c>
      <c r="G153" s="47">
        <v>1461.99</v>
      </c>
      <c r="H153" s="240" t="s">
        <v>2000</v>
      </c>
      <c r="I153" s="240" t="s">
        <v>2001</v>
      </c>
      <c r="J153" s="242">
        <f>IFERROR(IF(N153&lt;&gt;"",M153,IF(I153 = PARÂMETROS!$B$5,Q153, IF(I153 = PARÂMETROS!$B$6,R153,IF(I153 = PARÂMETROS!$B$7,S153,IF(I153 = PARÂMETROS!$B$8, T153,"DEFINIR CRITÉRIO"))))),"SEM PREÇO")</f>
        <v>1461.99</v>
      </c>
      <c r="K153" s="241">
        <f t="shared" si="74"/>
        <v>0</v>
      </c>
      <c r="L153" s="238" t="str">
        <f t="shared" si="75"/>
        <v/>
      </c>
      <c r="M153" s="46">
        <v>1461.99</v>
      </c>
      <c r="N153" s="52" t="s">
        <v>1047</v>
      </c>
      <c r="O153" s="53"/>
      <c r="P153" s="235">
        <f t="shared" si="76"/>
        <v>0</v>
      </c>
      <c r="Q153" s="236">
        <f t="shared" si="77"/>
        <v>0</v>
      </c>
      <c r="R153" s="236">
        <f t="shared" si="78"/>
        <v>0</v>
      </c>
      <c r="S153" s="236">
        <f t="shared" si="79"/>
        <v>0</v>
      </c>
      <c r="T153" s="236">
        <f t="shared" si="80"/>
        <v>0</v>
      </c>
      <c r="U153" s="237" t="str">
        <f>IF(AA153 = "", "", IF(OR($H153 = PARÂMETROS!$E$5, $H153 = ""), AA153, IF(OR(AA153 &lt; (1-VLOOKUP($H153,PARÂMETROS!$E:$F,2,FALSE))*$P153, AA153 &gt; (1+VLOOKUP($H153,PARÂMETROS!$E:$F,2,FALSE))*$P153),"",AA153)))</f>
        <v/>
      </c>
      <c r="V153" s="237" t="str">
        <f>IF(AG153 = "", "", IF(OR($H153 = PARÂMETROS!$E$5, $H153 = ""), AG153, IF(OR(AG153 &lt; (1-VLOOKUP($H153,PARÂMETROS!$E:$F,2,FALSE))*$P158, AG153 &gt; (1+VLOOKUP($H153,PARÂMETROS!$E:$F,2,FALSE))*$P153),"",AG153)))</f>
        <v/>
      </c>
      <c r="W153" s="237" t="str">
        <f>IF(AM153 = "", "", IF(OR($H153 = PARÂMETROS!$E$5, $H153 = ""), AM153, IF(OR(AM153 &lt; (1-VLOOKUP($H153,PARÂMETROS!$E:$F,2,FALSE))*$P153, AM153 &gt; (1+VLOOKUP($H153,PARÂMETROS!$E:$F,2,FALSE))*$P153),"",AM153)))</f>
        <v/>
      </c>
      <c r="X153" s="237" t="str">
        <f>IF(AS153 = "", "", IF(OR($H153 = PARÂMETROS!$E$5, $H153 = ""), AS153, IF(OR(AS153 &lt; (1-VLOOKUP($H153,PARÂMETROS!$E:$F,2,FALSE))*$P153, AS153 &gt; (1+VLOOKUP($H153,PARÂMETROS!$E:$F,2,FALSE))*$P153),"",AS153)))</f>
        <v/>
      </c>
      <c r="Y153" s="237" t="str">
        <f>IF(AY153 = "", "", IF(OR($H153 = PARÂMETROS!$E$5, $H153 = ""), AY153, IF(OR(AY153 &lt; (1-VLOOKUP($H153,PARÂMETROS!$E:$F,2,FALSE))*$P153, AY153 &gt; (1+VLOOKUP($H153,PARÂMETROS!$E:$F,2,FALSE))*$P153),"",AY153)))</f>
        <v/>
      </c>
      <c r="Z153" s="237" t="str">
        <f>IF(BE153 = "", "", IF(OR($H153 = PARÂMETROS!$E$5, $H153 = ""), BE153, IF(OR(BE153 &lt; (1-VLOOKUP($H153,PARÂMETROS!$E:$F,2,FALSE))*$P153, BE153 &gt; (1+VLOOKUP($H153,PARÂMETROS!$E:$F,2,FALSE))*$P153),"",BE153)))</f>
        <v/>
      </c>
      <c r="AA153" s="207"/>
      <c r="AB153" s="208"/>
      <c r="AC153" s="206" t="str">
        <f>IF(AND(OR(AA153="",AA153=0),OR(AA153="",AB153=0)),"",IF(OR(AA153="",AA153=0),"DEFINIR PREÇO",IF(OR(AB153="",AB153=0),"DEFINIR FORNECEDOR",IF(OR(AA153&lt;&gt;"",AA153&lt;&gt;0),VLOOKUP(AB153,#REF!,2,FALSE)))))</f>
        <v/>
      </c>
      <c r="AD153" s="217"/>
      <c r="AE153" s="218"/>
      <c r="AF153" s="220" t="str">
        <f t="shared" ca="1" si="81"/>
        <v/>
      </c>
      <c r="AG153" s="229"/>
      <c r="AH153" s="231"/>
      <c r="AI153" s="206" t="str">
        <f>IF(AND(OR(AG153="",AG153=0),OR(AG153="",AH153=0)),"",IF(OR(AG153="",AG153=0),"DEFINIR PREÇO",IF(OR(AH153="",AH153=0),"DEFINIR FORNECEDOR",IF(OR(AG153&lt;&gt;"",AG153&lt;&gt;0),VLOOKUP(AH153,#REF!,2,FALSE)))))</f>
        <v/>
      </c>
      <c r="AJ153" s="217"/>
      <c r="AK153" s="218"/>
      <c r="AL153" s="220" t="str">
        <f t="shared" ca="1" si="82"/>
        <v/>
      </c>
      <c r="AM153" s="229"/>
      <c r="AN153" s="231"/>
      <c r="AO153" s="206" t="str">
        <f>IF(AND(OR(AM153="",AM153=0),OR(AM153="",AN153=0)),"",IF(OR(AM153="",AM153=0),"DEFINIR PREÇO",IF(OR(AN153="",AN153=0),"DEFINIR FORNECEDOR",IF(OR(AM153&lt;&gt;"",AM153&lt;&gt;0),VLOOKUP(AN153,#REF!,2,FALSE)))))</f>
        <v/>
      </c>
      <c r="AP153" s="217"/>
      <c r="AQ153" s="218"/>
      <c r="AR153" s="220" t="str">
        <f t="shared" ca="1" si="83"/>
        <v/>
      </c>
      <c r="AS153" s="229"/>
      <c r="AT153" s="231"/>
      <c r="AU153" s="194"/>
      <c r="AV153" s="217"/>
      <c r="AW153" s="218"/>
      <c r="AX153" s="220" t="str">
        <f t="shared" ca="1" si="84"/>
        <v/>
      </c>
      <c r="AY153" s="195"/>
      <c r="AZ153" s="196"/>
      <c r="BA153" s="209" t="str">
        <f>IF(AND(OR(AY153="",AY153=0),OR(AY153="",AZ153=0)),"",IF(OR(AY153="",AY153=0),"DEFINIR PREÇO",IF(OR(AZ153="",AZ153=0),"DEFINIR FORNECEDOR",IF(OR(AY153&lt;&gt;"",AY153&lt;&gt;0),VLOOKUP(AZ153,#REF!,2,FALSE)))))</f>
        <v/>
      </c>
      <c r="BB153" s="194"/>
      <c r="BC153" s="194"/>
      <c r="BD153" s="220" t="str">
        <f t="shared" ca="1" si="85"/>
        <v/>
      </c>
      <c r="BE153" s="195"/>
      <c r="BF153" s="196"/>
      <c r="BG153" s="194"/>
      <c r="BH153" s="194"/>
      <c r="BI153" s="194"/>
      <c r="BJ153" s="197"/>
    </row>
    <row r="154" spans="1:62" ht="63" customHeight="1" x14ac:dyDescent="0.25">
      <c r="A154" s="44" t="s">
        <v>405</v>
      </c>
      <c r="B154" s="58" t="s">
        <v>347</v>
      </c>
      <c r="C154" s="45">
        <v>5</v>
      </c>
      <c r="D154" s="55" t="s">
        <v>303</v>
      </c>
      <c r="E154" s="45" t="s">
        <v>287</v>
      </c>
      <c r="F154" s="46">
        <v>75.41</v>
      </c>
      <c r="G154" s="47">
        <v>75.41</v>
      </c>
      <c r="H154" s="240" t="s">
        <v>2000</v>
      </c>
      <c r="I154" s="240" t="s">
        <v>2001</v>
      </c>
      <c r="J154" s="242">
        <f>IFERROR(IF(N154&lt;&gt;"",M154,IF(I154 = PARÂMETROS!$B$5,Q154, IF(I154 = PARÂMETROS!$B$6,R154,IF(I154 = PARÂMETROS!$B$7,S154,IF(I154 = PARÂMETROS!$B$8, T154,"DEFINIR CRITÉRIO"))))),"SEM PREÇO")</f>
        <v>75.41</v>
      </c>
      <c r="K154" s="241">
        <f t="shared" si="74"/>
        <v>0</v>
      </c>
      <c r="L154" s="238" t="str">
        <f t="shared" si="75"/>
        <v/>
      </c>
      <c r="M154" s="46">
        <v>75.41</v>
      </c>
      <c r="N154" s="52" t="s">
        <v>1047</v>
      </c>
      <c r="O154" s="53"/>
      <c r="P154" s="235">
        <f t="shared" si="76"/>
        <v>0</v>
      </c>
      <c r="Q154" s="236">
        <f t="shared" si="77"/>
        <v>0</v>
      </c>
      <c r="R154" s="236">
        <f t="shared" si="78"/>
        <v>0</v>
      </c>
      <c r="S154" s="236">
        <f t="shared" si="79"/>
        <v>0</v>
      </c>
      <c r="T154" s="236">
        <f t="shared" si="80"/>
        <v>0</v>
      </c>
      <c r="U154" s="237" t="str">
        <f>IF(AA154 = "", "", IF(OR($H154 = PARÂMETROS!$E$5, $H154 = ""), AA154, IF(OR(AA154 &lt; (1-VLOOKUP($H154,PARÂMETROS!$E:$F,2,FALSE))*$P154, AA154 &gt; (1+VLOOKUP($H154,PARÂMETROS!$E:$F,2,FALSE))*$P154),"",AA154)))</f>
        <v/>
      </c>
      <c r="V154" s="237" t="str">
        <f>IF(AG154 = "", "", IF(OR($H154 = PARÂMETROS!$E$5, $H154 = ""), AG154, IF(OR(AG154 &lt; (1-VLOOKUP($H154,PARÂMETROS!$E:$F,2,FALSE))*$P159, AG154 &gt; (1+VLOOKUP($H154,PARÂMETROS!$E:$F,2,FALSE))*$P154),"",AG154)))</f>
        <v/>
      </c>
      <c r="W154" s="237" t="str">
        <f>IF(AM154 = "", "", IF(OR($H154 = PARÂMETROS!$E$5, $H154 = ""), AM154, IF(OR(AM154 &lt; (1-VLOOKUP($H154,PARÂMETROS!$E:$F,2,FALSE))*$P154, AM154 &gt; (1+VLOOKUP($H154,PARÂMETROS!$E:$F,2,FALSE))*$P154),"",AM154)))</f>
        <v/>
      </c>
      <c r="X154" s="237" t="str">
        <f>IF(AS154 = "", "", IF(OR($H154 = PARÂMETROS!$E$5, $H154 = ""), AS154, IF(OR(AS154 &lt; (1-VLOOKUP($H154,PARÂMETROS!$E:$F,2,FALSE))*$P154, AS154 &gt; (1+VLOOKUP($H154,PARÂMETROS!$E:$F,2,FALSE))*$P154),"",AS154)))</f>
        <v/>
      </c>
      <c r="Y154" s="237" t="str">
        <f>IF(AY154 = "", "", IF(OR($H154 = PARÂMETROS!$E$5, $H154 = ""), AY154, IF(OR(AY154 &lt; (1-VLOOKUP($H154,PARÂMETROS!$E:$F,2,FALSE))*$P154, AY154 &gt; (1+VLOOKUP($H154,PARÂMETROS!$E:$F,2,FALSE))*$P154),"",AY154)))</f>
        <v/>
      </c>
      <c r="Z154" s="237" t="str">
        <f>IF(BE154 = "", "", IF(OR($H154 = PARÂMETROS!$E$5, $H154 = ""), BE154, IF(OR(BE154 &lt; (1-VLOOKUP($H154,PARÂMETROS!$E:$F,2,FALSE))*$P154, BE154 &gt; (1+VLOOKUP($H154,PARÂMETROS!$E:$F,2,FALSE))*$P154),"",BE154)))</f>
        <v/>
      </c>
      <c r="AA154" s="207"/>
      <c r="AB154" s="208"/>
      <c r="AC154" s="206" t="str">
        <f>IF(AND(OR(AA154="",AA154=0),OR(AA154="",AB154=0)),"",IF(OR(AA154="",AA154=0),"DEFINIR PREÇO",IF(OR(AB154="",AB154=0),"DEFINIR FORNECEDOR",IF(OR(AA154&lt;&gt;"",AA154&lt;&gt;0),VLOOKUP(AB154,#REF!,2,FALSE)))))</f>
        <v/>
      </c>
      <c r="AD154" s="217"/>
      <c r="AE154" s="218"/>
      <c r="AF154" s="220" t="str">
        <f t="shared" ca="1" si="81"/>
        <v/>
      </c>
      <c r="AG154" s="229"/>
      <c r="AH154" s="231"/>
      <c r="AI154" s="206" t="str">
        <f>IF(AND(OR(AG154="",AG154=0),OR(AG154="",AH154=0)),"",IF(OR(AG154="",AG154=0),"DEFINIR PREÇO",IF(OR(AH154="",AH154=0),"DEFINIR FORNECEDOR",IF(OR(AG154&lt;&gt;"",AG154&lt;&gt;0),VLOOKUP(AH154,#REF!,2,FALSE)))))</f>
        <v/>
      </c>
      <c r="AJ154" s="217"/>
      <c r="AK154" s="218"/>
      <c r="AL154" s="220" t="str">
        <f t="shared" ca="1" si="82"/>
        <v/>
      </c>
      <c r="AM154" s="229"/>
      <c r="AN154" s="231"/>
      <c r="AO154" s="206" t="str">
        <f>IF(AND(OR(AM154="",AM154=0),OR(AM154="",AN154=0)),"",IF(OR(AM154="",AM154=0),"DEFINIR PREÇO",IF(OR(AN154="",AN154=0),"DEFINIR FORNECEDOR",IF(OR(AM154&lt;&gt;"",AM154&lt;&gt;0),VLOOKUP(AN154,#REF!,2,FALSE)))))</f>
        <v/>
      </c>
      <c r="AP154" s="217"/>
      <c r="AQ154" s="218"/>
      <c r="AR154" s="220" t="str">
        <f t="shared" ca="1" si="83"/>
        <v/>
      </c>
      <c r="AS154" s="229"/>
      <c r="AT154" s="231"/>
      <c r="AU154" s="194"/>
      <c r="AV154" s="217"/>
      <c r="AW154" s="218"/>
      <c r="AX154" s="220" t="str">
        <f t="shared" ca="1" si="84"/>
        <v/>
      </c>
      <c r="AY154" s="195"/>
      <c r="AZ154" s="196"/>
      <c r="BA154" s="209" t="str">
        <f>IF(AND(OR(AY154="",AY154=0),OR(AY154="",AZ154=0)),"",IF(OR(AY154="",AY154=0),"DEFINIR PREÇO",IF(OR(AZ154="",AZ154=0),"DEFINIR FORNECEDOR",IF(OR(AY154&lt;&gt;"",AY154&lt;&gt;0),VLOOKUP(AZ154,#REF!,2,FALSE)))))</f>
        <v/>
      </c>
      <c r="BB154" s="194"/>
      <c r="BC154" s="194"/>
      <c r="BD154" s="220" t="str">
        <f t="shared" ca="1" si="85"/>
        <v/>
      </c>
      <c r="BE154" s="195"/>
      <c r="BF154" s="196"/>
      <c r="BG154" s="194"/>
      <c r="BH154" s="194"/>
      <c r="BI154" s="194"/>
      <c r="BJ154" s="197"/>
    </row>
    <row r="155" spans="1:62" ht="25.5" x14ac:dyDescent="0.25">
      <c r="A155" s="44" t="s">
        <v>405</v>
      </c>
      <c r="B155" s="58" t="s">
        <v>348</v>
      </c>
      <c r="C155" s="45">
        <v>5</v>
      </c>
      <c r="D155" s="55" t="s">
        <v>304</v>
      </c>
      <c r="E155" s="45" t="s">
        <v>21</v>
      </c>
      <c r="F155" s="46">
        <v>424.9</v>
      </c>
      <c r="G155" s="47">
        <v>424.9</v>
      </c>
      <c r="H155" s="240" t="s">
        <v>2000</v>
      </c>
      <c r="I155" s="240" t="s">
        <v>2001</v>
      </c>
      <c r="J155" s="242">
        <f>IFERROR(IF(N155&lt;&gt;"",M155,IF(I155 = PARÂMETROS!$B$5,Q155, IF(I155 = PARÂMETROS!$B$6,R155,IF(I155 = PARÂMETROS!$B$7,S155,IF(I155 = PARÂMETROS!$B$8, T155,"DEFINIR CRITÉRIO"))))),"SEM PREÇO")</f>
        <v>424.9</v>
      </c>
      <c r="K155" s="241">
        <f t="shared" si="74"/>
        <v>0</v>
      </c>
      <c r="L155" s="238" t="str">
        <f t="shared" si="75"/>
        <v/>
      </c>
      <c r="M155" s="46">
        <v>424.9</v>
      </c>
      <c r="N155" s="52" t="s">
        <v>1047</v>
      </c>
      <c r="O155" s="53"/>
      <c r="P155" s="235">
        <f t="shared" si="76"/>
        <v>0</v>
      </c>
      <c r="Q155" s="236">
        <f t="shared" si="77"/>
        <v>0</v>
      </c>
      <c r="R155" s="236">
        <f t="shared" si="78"/>
        <v>0</v>
      </c>
      <c r="S155" s="236">
        <f t="shared" si="79"/>
        <v>0</v>
      </c>
      <c r="T155" s="236">
        <f t="shared" si="80"/>
        <v>0</v>
      </c>
      <c r="U155" s="237" t="str">
        <f>IF(AA155 = "", "", IF(OR($H155 = PARÂMETROS!$E$5, $H155 = ""), AA155, IF(OR(AA155 &lt; (1-VLOOKUP($H155,PARÂMETROS!$E:$F,2,FALSE))*$P155, AA155 &gt; (1+VLOOKUP($H155,PARÂMETROS!$E:$F,2,FALSE))*$P155),"",AA155)))</f>
        <v/>
      </c>
      <c r="V155" s="237" t="str">
        <f>IF(AG155 = "", "", IF(OR($H155 = PARÂMETROS!$E$5, $H155 = ""), AG155, IF(OR(AG155 &lt; (1-VLOOKUP($H155,PARÂMETROS!$E:$F,2,FALSE))*$P160, AG155 &gt; (1+VLOOKUP($H155,PARÂMETROS!$E:$F,2,FALSE))*$P155),"",AG155)))</f>
        <v/>
      </c>
      <c r="W155" s="237" t="str">
        <f>IF(AM155 = "", "", IF(OR($H155 = PARÂMETROS!$E$5, $H155 = ""), AM155, IF(OR(AM155 &lt; (1-VLOOKUP($H155,PARÂMETROS!$E:$F,2,FALSE))*$P155, AM155 &gt; (1+VLOOKUP($H155,PARÂMETROS!$E:$F,2,FALSE))*$P155),"",AM155)))</f>
        <v/>
      </c>
      <c r="X155" s="237" t="str">
        <f>IF(AS155 = "", "", IF(OR($H155 = PARÂMETROS!$E$5, $H155 = ""), AS155, IF(OR(AS155 &lt; (1-VLOOKUP($H155,PARÂMETROS!$E:$F,2,FALSE))*$P155, AS155 &gt; (1+VLOOKUP($H155,PARÂMETROS!$E:$F,2,FALSE))*$P155),"",AS155)))</f>
        <v/>
      </c>
      <c r="Y155" s="237" t="str">
        <f>IF(AY155 = "", "", IF(OR($H155 = PARÂMETROS!$E$5, $H155 = ""), AY155, IF(OR(AY155 &lt; (1-VLOOKUP($H155,PARÂMETROS!$E:$F,2,FALSE))*$P155, AY155 &gt; (1+VLOOKUP($H155,PARÂMETROS!$E:$F,2,FALSE))*$P155),"",AY155)))</f>
        <v/>
      </c>
      <c r="Z155" s="237" t="str">
        <f>IF(BE155 = "", "", IF(OR($H155 = PARÂMETROS!$E$5, $H155 = ""), BE155, IF(OR(BE155 &lt; (1-VLOOKUP($H155,PARÂMETROS!$E:$F,2,FALSE))*$P155, BE155 &gt; (1+VLOOKUP($H155,PARÂMETROS!$E:$F,2,FALSE))*$P155),"",BE155)))</f>
        <v/>
      </c>
      <c r="AA155" s="207"/>
      <c r="AB155" s="208"/>
      <c r="AC155" s="206" t="str">
        <f>IF(AND(OR(AA155="",AA155=0),OR(AA155="",AB155=0)),"",IF(OR(AA155="",AA155=0),"DEFINIR PREÇO",IF(OR(AB155="",AB155=0),"DEFINIR FORNECEDOR",IF(OR(AA155&lt;&gt;"",AA155&lt;&gt;0),VLOOKUP(AB155,#REF!,2,FALSE)))))</f>
        <v/>
      </c>
      <c r="AD155" s="217"/>
      <c r="AE155" s="218"/>
      <c r="AF155" s="220" t="str">
        <f t="shared" ca="1" si="81"/>
        <v/>
      </c>
      <c r="AG155" s="229"/>
      <c r="AH155" s="231"/>
      <c r="AI155" s="206" t="str">
        <f>IF(AND(OR(AG155="",AG155=0),OR(AG155="",AH155=0)),"",IF(OR(AG155="",AG155=0),"DEFINIR PREÇO",IF(OR(AH155="",AH155=0),"DEFINIR FORNECEDOR",IF(OR(AG155&lt;&gt;"",AG155&lt;&gt;0),VLOOKUP(AH155,#REF!,2,FALSE)))))</f>
        <v/>
      </c>
      <c r="AJ155" s="217"/>
      <c r="AK155" s="218"/>
      <c r="AL155" s="220" t="str">
        <f t="shared" ca="1" si="82"/>
        <v/>
      </c>
      <c r="AM155" s="229"/>
      <c r="AN155" s="231"/>
      <c r="AO155" s="206" t="str">
        <f>IF(AND(OR(AM155="",AM155=0),OR(AM155="",AN155=0)),"",IF(OR(AM155="",AM155=0),"DEFINIR PREÇO",IF(OR(AN155="",AN155=0),"DEFINIR FORNECEDOR",IF(OR(AM155&lt;&gt;"",AM155&lt;&gt;0),VLOOKUP(AN155,#REF!,2,FALSE)))))</f>
        <v/>
      </c>
      <c r="AP155" s="217"/>
      <c r="AQ155" s="218"/>
      <c r="AR155" s="220" t="str">
        <f t="shared" ca="1" si="83"/>
        <v/>
      </c>
      <c r="AS155" s="229"/>
      <c r="AT155" s="231"/>
      <c r="AU155" s="194"/>
      <c r="AV155" s="217"/>
      <c r="AW155" s="218"/>
      <c r="AX155" s="220" t="str">
        <f t="shared" ca="1" si="84"/>
        <v/>
      </c>
      <c r="AY155" s="195"/>
      <c r="AZ155" s="196"/>
      <c r="BA155" s="209" t="str">
        <f>IF(AND(OR(AY155="",AY155=0),OR(AY155="",AZ155=0)),"",IF(OR(AY155="",AY155=0),"DEFINIR PREÇO",IF(OR(AZ155="",AZ155=0),"DEFINIR FORNECEDOR",IF(OR(AY155&lt;&gt;"",AY155&lt;&gt;0),VLOOKUP(AZ155,#REF!,2,FALSE)))))</f>
        <v/>
      </c>
      <c r="BB155" s="194"/>
      <c r="BC155" s="194"/>
      <c r="BD155" s="220" t="str">
        <f t="shared" ca="1" si="85"/>
        <v/>
      </c>
      <c r="BE155" s="195"/>
      <c r="BF155" s="196"/>
      <c r="BG155" s="194"/>
      <c r="BH155" s="194"/>
      <c r="BI155" s="194"/>
      <c r="BJ155" s="197"/>
    </row>
    <row r="156" spans="1:62" ht="25.5" x14ac:dyDescent="0.25">
      <c r="A156" s="44" t="s">
        <v>405</v>
      </c>
      <c r="B156" s="58" t="s">
        <v>349</v>
      </c>
      <c r="C156" s="45">
        <v>5</v>
      </c>
      <c r="D156" s="55" t="s">
        <v>306</v>
      </c>
      <c r="E156" s="45" t="s">
        <v>21</v>
      </c>
      <c r="F156" s="46">
        <v>461.68</v>
      </c>
      <c r="G156" s="47">
        <v>461.68</v>
      </c>
      <c r="H156" s="240" t="s">
        <v>2000</v>
      </c>
      <c r="I156" s="240" t="s">
        <v>2001</v>
      </c>
      <c r="J156" s="242">
        <f>IFERROR(IF(N156&lt;&gt;"",M156,IF(I156 = PARÂMETROS!$B$5,Q156, IF(I156 = PARÂMETROS!$B$6,R156,IF(I156 = PARÂMETROS!$B$7,S156,IF(I156 = PARÂMETROS!$B$8, T156,"DEFINIR CRITÉRIO"))))),"SEM PREÇO")</f>
        <v>461.68</v>
      </c>
      <c r="K156" s="241">
        <f t="shared" si="74"/>
        <v>0</v>
      </c>
      <c r="L156" s="238" t="str">
        <f t="shared" si="75"/>
        <v/>
      </c>
      <c r="M156" s="46">
        <v>461.68</v>
      </c>
      <c r="N156" s="52" t="s">
        <v>1047</v>
      </c>
      <c r="O156" s="53"/>
      <c r="P156" s="235">
        <f t="shared" si="76"/>
        <v>0</v>
      </c>
      <c r="Q156" s="236">
        <f t="shared" si="77"/>
        <v>0</v>
      </c>
      <c r="R156" s="236">
        <f t="shared" si="78"/>
        <v>0</v>
      </c>
      <c r="S156" s="236">
        <f t="shared" si="79"/>
        <v>0</v>
      </c>
      <c r="T156" s="236">
        <f t="shared" si="80"/>
        <v>0</v>
      </c>
      <c r="U156" s="237" t="str">
        <f>IF(AA156 = "", "", IF(OR($H156 = PARÂMETROS!$E$5, $H156 = ""), AA156, IF(OR(AA156 &lt; (1-VLOOKUP($H156,PARÂMETROS!$E:$F,2,FALSE))*$P156, AA156 &gt; (1+VLOOKUP($H156,PARÂMETROS!$E:$F,2,FALSE))*$P156),"",AA156)))</f>
        <v/>
      </c>
      <c r="V156" s="237" t="str">
        <f>IF(AG156 = "", "", IF(OR($H156 = PARÂMETROS!$E$5, $H156 = ""), AG156, IF(OR(AG156 &lt; (1-VLOOKUP($H156,PARÂMETROS!$E:$F,2,FALSE))*$P161, AG156 &gt; (1+VLOOKUP($H156,PARÂMETROS!$E:$F,2,FALSE))*$P156),"",AG156)))</f>
        <v/>
      </c>
      <c r="W156" s="237" t="str">
        <f>IF(AM156 = "", "", IF(OR($H156 = PARÂMETROS!$E$5, $H156 = ""), AM156, IF(OR(AM156 &lt; (1-VLOOKUP($H156,PARÂMETROS!$E:$F,2,FALSE))*$P156, AM156 &gt; (1+VLOOKUP($H156,PARÂMETROS!$E:$F,2,FALSE))*$P156),"",AM156)))</f>
        <v/>
      </c>
      <c r="X156" s="237" t="str">
        <f>IF(AS156 = "", "", IF(OR($H156 = PARÂMETROS!$E$5, $H156 = ""), AS156, IF(OR(AS156 &lt; (1-VLOOKUP($H156,PARÂMETROS!$E:$F,2,FALSE))*$P156, AS156 &gt; (1+VLOOKUP($H156,PARÂMETROS!$E:$F,2,FALSE))*$P156),"",AS156)))</f>
        <v/>
      </c>
      <c r="Y156" s="237" t="str">
        <f>IF(AY156 = "", "", IF(OR($H156 = PARÂMETROS!$E$5, $H156 = ""), AY156, IF(OR(AY156 &lt; (1-VLOOKUP($H156,PARÂMETROS!$E:$F,2,FALSE))*$P156, AY156 &gt; (1+VLOOKUP($H156,PARÂMETROS!$E:$F,2,FALSE))*$P156),"",AY156)))</f>
        <v/>
      </c>
      <c r="Z156" s="237" t="str">
        <f>IF(BE156 = "", "", IF(OR($H156 = PARÂMETROS!$E$5, $H156 = ""), BE156, IF(OR(BE156 &lt; (1-VLOOKUP($H156,PARÂMETROS!$E:$F,2,FALSE))*$P156, BE156 &gt; (1+VLOOKUP($H156,PARÂMETROS!$E:$F,2,FALSE))*$P156),"",BE156)))</f>
        <v/>
      </c>
      <c r="AA156" s="207"/>
      <c r="AB156" s="208"/>
      <c r="AC156" s="206" t="str">
        <f>IF(AND(OR(AA156="",AA156=0),OR(AA156="",AB156=0)),"",IF(OR(AA156="",AA156=0),"DEFINIR PREÇO",IF(OR(AB156="",AB156=0),"DEFINIR FORNECEDOR",IF(OR(AA156&lt;&gt;"",AA156&lt;&gt;0),VLOOKUP(AB156,#REF!,2,FALSE)))))</f>
        <v/>
      </c>
      <c r="AD156" s="217"/>
      <c r="AE156" s="218"/>
      <c r="AF156" s="220" t="str">
        <f t="shared" ca="1" si="81"/>
        <v/>
      </c>
      <c r="AG156" s="229"/>
      <c r="AH156" s="231"/>
      <c r="AI156" s="206" t="str">
        <f>IF(AND(OR(AG156="",AG156=0),OR(AG156="",AH156=0)),"",IF(OR(AG156="",AG156=0),"DEFINIR PREÇO",IF(OR(AH156="",AH156=0),"DEFINIR FORNECEDOR",IF(OR(AG156&lt;&gt;"",AG156&lt;&gt;0),VLOOKUP(AH156,#REF!,2,FALSE)))))</f>
        <v/>
      </c>
      <c r="AJ156" s="217"/>
      <c r="AK156" s="218"/>
      <c r="AL156" s="220" t="str">
        <f t="shared" ca="1" si="82"/>
        <v/>
      </c>
      <c r="AM156" s="229"/>
      <c r="AN156" s="231"/>
      <c r="AO156" s="206" t="str">
        <f>IF(AND(OR(AM156="",AM156=0),OR(AM156="",AN156=0)),"",IF(OR(AM156="",AM156=0),"DEFINIR PREÇO",IF(OR(AN156="",AN156=0),"DEFINIR FORNECEDOR",IF(OR(AM156&lt;&gt;"",AM156&lt;&gt;0),VLOOKUP(AN156,#REF!,2,FALSE)))))</f>
        <v/>
      </c>
      <c r="AP156" s="217"/>
      <c r="AQ156" s="218"/>
      <c r="AR156" s="220" t="str">
        <f t="shared" ca="1" si="83"/>
        <v/>
      </c>
      <c r="AS156" s="229"/>
      <c r="AT156" s="231"/>
      <c r="AU156" s="194"/>
      <c r="AV156" s="217"/>
      <c r="AW156" s="218"/>
      <c r="AX156" s="220" t="str">
        <f t="shared" ca="1" si="84"/>
        <v/>
      </c>
      <c r="AY156" s="195"/>
      <c r="AZ156" s="196"/>
      <c r="BA156" s="209" t="str">
        <f>IF(AND(OR(AY156="",AY156=0),OR(AY156="",AZ156=0)),"",IF(OR(AY156="",AY156=0),"DEFINIR PREÇO",IF(OR(AZ156="",AZ156=0),"DEFINIR FORNECEDOR",IF(OR(AY156&lt;&gt;"",AY156&lt;&gt;0),VLOOKUP(AZ156,#REF!,2,FALSE)))))</f>
        <v/>
      </c>
      <c r="BB156" s="194"/>
      <c r="BC156" s="194"/>
      <c r="BD156" s="220" t="str">
        <f t="shared" ca="1" si="85"/>
        <v/>
      </c>
      <c r="BE156" s="195"/>
      <c r="BF156" s="196"/>
      <c r="BG156" s="194"/>
      <c r="BH156" s="194"/>
      <c r="BI156" s="194"/>
      <c r="BJ156" s="197"/>
    </row>
    <row r="157" spans="1:62" ht="25.5" x14ac:dyDescent="0.25">
      <c r="A157" s="44" t="s">
        <v>405</v>
      </c>
      <c r="B157" s="58" t="s">
        <v>350</v>
      </c>
      <c r="C157" s="45">
        <v>5</v>
      </c>
      <c r="D157" s="55" t="s">
        <v>307</v>
      </c>
      <c r="E157" s="45" t="s">
        <v>20</v>
      </c>
      <c r="F157" s="46">
        <v>140.43</v>
      </c>
      <c r="G157" s="47">
        <v>140.43</v>
      </c>
      <c r="H157" s="240" t="s">
        <v>2000</v>
      </c>
      <c r="I157" s="240" t="s">
        <v>2001</v>
      </c>
      <c r="J157" s="242">
        <f>IFERROR(IF(N157&lt;&gt;"",M157,IF(I157 = PARÂMETROS!$B$5,Q157, IF(I157 = PARÂMETROS!$B$6,R157,IF(I157 = PARÂMETROS!$B$7,S157,IF(I157 = PARÂMETROS!$B$8, T157,"DEFINIR CRITÉRIO"))))),"SEM PREÇO")</f>
        <v>140.43</v>
      </c>
      <c r="K157" s="241">
        <f t="shared" si="74"/>
        <v>0</v>
      </c>
      <c r="L157" s="238" t="str">
        <f t="shared" si="75"/>
        <v/>
      </c>
      <c r="M157" s="46">
        <v>140.43</v>
      </c>
      <c r="N157" s="52" t="s">
        <v>1047</v>
      </c>
      <c r="O157" s="53"/>
      <c r="P157" s="235">
        <f t="shared" si="76"/>
        <v>0</v>
      </c>
      <c r="Q157" s="236">
        <f t="shared" si="77"/>
        <v>0</v>
      </c>
      <c r="R157" s="236">
        <f t="shared" si="78"/>
        <v>0</v>
      </c>
      <c r="S157" s="236">
        <f t="shared" si="79"/>
        <v>0</v>
      </c>
      <c r="T157" s="236">
        <f t="shared" si="80"/>
        <v>0</v>
      </c>
      <c r="U157" s="237" t="str">
        <f>IF(AA157 = "", "", IF(OR($H157 = PARÂMETROS!$E$5, $H157 = ""), AA157, IF(OR(AA157 &lt; (1-VLOOKUP($H157,PARÂMETROS!$E:$F,2,FALSE))*$P157, AA157 &gt; (1+VLOOKUP($H157,PARÂMETROS!$E:$F,2,FALSE))*$P157),"",AA157)))</f>
        <v/>
      </c>
      <c r="V157" s="237" t="str">
        <f>IF(AG157 = "", "", IF(OR($H157 = PARÂMETROS!$E$5, $H157 = ""), AG157, IF(OR(AG157 &lt; (1-VLOOKUP($H157,PARÂMETROS!$E:$F,2,FALSE))*$P162, AG157 &gt; (1+VLOOKUP($H157,PARÂMETROS!$E:$F,2,FALSE))*$P157),"",AG157)))</f>
        <v/>
      </c>
      <c r="W157" s="237" t="str">
        <f>IF(AM157 = "", "", IF(OR($H157 = PARÂMETROS!$E$5, $H157 = ""), AM157, IF(OR(AM157 &lt; (1-VLOOKUP($H157,PARÂMETROS!$E:$F,2,FALSE))*$P157, AM157 &gt; (1+VLOOKUP($H157,PARÂMETROS!$E:$F,2,FALSE))*$P157),"",AM157)))</f>
        <v/>
      </c>
      <c r="X157" s="237" t="str">
        <f>IF(AS157 = "", "", IF(OR($H157 = PARÂMETROS!$E$5, $H157 = ""), AS157, IF(OR(AS157 &lt; (1-VLOOKUP($H157,PARÂMETROS!$E:$F,2,FALSE))*$P157, AS157 &gt; (1+VLOOKUP($H157,PARÂMETROS!$E:$F,2,FALSE))*$P157),"",AS157)))</f>
        <v/>
      </c>
      <c r="Y157" s="237" t="str">
        <f>IF(AY157 = "", "", IF(OR($H157 = PARÂMETROS!$E$5, $H157 = ""), AY157, IF(OR(AY157 &lt; (1-VLOOKUP($H157,PARÂMETROS!$E:$F,2,FALSE))*$P157, AY157 &gt; (1+VLOOKUP($H157,PARÂMETROS!$E:$F,2,FALSE))*$P157),"",AY157)))</f>
        <v/>
      </c>
      <c r="Z157" s="237" t="str">
        <f>IF(BE157 = "", "", IF(OR($H157 = PARÂMETROS!$E$5, $H157 = ""), BE157, IF(OR(BE157 &lt; (1-VLOOKUP($H157,PARÂMETROS!$E:$F,2,FALSE))*$P157, BE157 &gt; (1+VLOOKUP($H157,PARÂMETROS!$E:$F,2,FALSE))*$P157),"",BE157)))</f>
        <v/>
      </c>
      <c r="AA157" s="207"/>
      <c r="AB157" s="208"/>
      <c r="AC157" s="206" t="str">
        <f>IF(AND(OR(AA157="",AA157=0),OR(AA157="",AB157=0)),"",IF(OR(AA157="",AA157=0),"DEFINIR PREÇO",IF(OR(AB157="",AB157=0),"DEFINIR FORNECEDOR",IF(OR(AA157&lt;&gt;"",AA157&lt;&gt;0),VLOOKUP(AB157,#REF!,2,FALSE)))))</f>
        <v/>
      </c>
      <c r="AD157" s="217"/>
      <c r="AE157" s="218"/>
      <c r="AF157" s="220" t="str">
        <f t="shared" ca="1" si="81"/>
        <v/>
      </c>
      <c r="AG157" s="229"/>
      <c r="AH157" s="231"/>
      <c r="AI157" s="206" t="str">
        <f>IF(AND(OR(AG157="",AG157=0),OR(AG157="",AH157=0)),"",IF(OR(AG157="",AG157=0),"DEFINIR PREÇO",IF(OR(AH157="",AH157=0),"DEFINIR FORNECEDOR",IF(OR(AG157&lt;&gt;"",AG157&lt;&gt;0),VLOOKUP(AH157,#REF!,2,FALSE)))))</f>
        <v/>
      </c>
      <c r="AJ157" s="217"/>
      <c r="AK157" s="218"/>
      <c r="AL157" s="220" t="str">
        <f t="shared" ca="1" si="82"/>
        <v/>
      </c>
      <c r="AM157" s="229"/>
      <c r="AN157" s="231"/>
      <c r="AO157" s="206" t="str">
        <f>IF(AND(OR(AM157="",AM157=0),OR(AM157="",AN157=0)),"",IF(OR(AM157="",AM157=0),"DEFINIR PREÇO",IF(OR(AN157="",AN157=0),"DEFINIR FORNECEDOR",IF(OR(AM157&lt;&gt;"",AM157&lt;&gt;0),VLOOKUP(AN157,#REF!,2,FALSE)))))</f>
        <v/>
      </c>
      <c r="AP157" s="217"/>
      <c r="AQ157" s="218"/>
      <c r="AR157" s="220" t="str">
        <f t="shared" ca="1" si="83"/>
        <v/>
      </c>
      <c r="AS157" s="229"/>
      <c r="AT157" s="231"/>
      <c r="AU157" s="194"/>
      <c r="AV157" s="217"/>
      <c r="AW157" s="218"/>
      <c r="AX157" s="220" t="str">
        <f t="shared" ca="1" si="84"/>
        <v/>
      </c>
      <c r="AY157" s="195"/>
      <c r="AZ157" s="196"/>
      <c r="BA157" s="209" t="str">
        <f>IF(AND(OR(AY157="",AY157=0),OR(AY157="",AZ157=0)),"",IF(OR(AY157="",AY157=0),"DEFINIR PREÇO",IF(OR(AZ157="",AZ157=0),"DEFINIR FORNECEDOR",IF(OR(AY157&lt;&gt;"",AY157&lt;&gt;0),VLOOKUP(AZ157,#REF!,2,FALSE)))))</f>
        <v/>
      </c>
      <c r="BB157" s="194"/>
      <c r="BC157" s="194"/>
      <c r="BD157" s="220" t="str">
        <f t="shared" ca="1" si="85"/>
        <v/>
      </c>
      <c r="BE157" s="195"/>
      <c r="BF157" s="196"/>
      <c r="BG157" s="194"/>
      <c r="BH157" s="194"/>
      <c r="BI157" s="194"/>
      <c r="BJ157" s="197"/>
    </row>
    <row r="158" spans="1:62" ht="25.5" x14ac:dyDescent="0.25">
      <c r="A158" s="44" t="s">
        <v>405</v>
      </c>
      <c r="B158" s="58" t="s">
        <v>351</v>
      </c>
      <c r="C158" s="45">
        <v>5</v>
      </c>
      <c r="D158" s="55" t="s">
        <v>308</v>
      </c>
      <c r="E158" s="45" t="s">
        <v>23</v>
      </c>
      <c r="F158" s="46">
        <v>1538.94</v>
      </c>
      <c r="G158" s="47">
        <v>1538.94</v>
      </c>
      <c r="H158" s="240" t="s">
        <v>2000</v>
      </c>
      <c r="I158" s="240" t="s">
        <v>2001</v>
      </c>
      <c r="J158" s="242">
        <f>IFERROR(IF(N158&lt;&gt;"",M158,IF(I158 = PARÂMETROS!$B$5,Q158, IF(I158 = PARÂMETROS!$B$6,R158,IF(I158 = PARÂMETROS!$B$7,S158,IF(I158 = PARÂMETROS!$B$8, T158,"DEFINIR CRITÉRIO"))))),"SEM PREÇO")</f>
        <v>1538.94</v>
      </c>
      <c r="K158" s="241">
        <f t="shared" si="74"/>
        <v>0</v>
      </c>
      <c r="L158" s="238" t="str">
        <f t="shared" si="75"/>
        <v/>
      </c>
      <c r="M158" s="46">
        <v>1538.94</v>
      </c>
      <c r="N158" s="52" t="s">
        <v>1047</v>
      </c>
      <c r="O158" s="53"/>
      <c r="P158" s="235">
        <f t="shared" si="76"/>
        <v>0</v>
      </c>
      <c r="Q158" s="236">
        <f t="shared" si="77"/>
        <v>0</v>
      </c>
      <c r="R158" s="236">
        <f t="shared" si="78"/>
        <v>0</v>
      </c>
      <c r="S158" s="236">
        <f t="shared" si="79"/>
        <v>0</v>
      </c>
      <c r="T158" s="236">
        <f t="shared" si="80"/>
        <v>0</v>
      </c>
      <c r="U158" s="237" t="str">
        <f>IF(AA158 = "", "", IF(OR($H158 = PARÂMETROS!$E$5, $H158 = ""), AA158, IF(OR(AA158 &lt; (1-VLOOKUP($H158,PARÂMETROS!$E:$F,2,FALSE))*$P158, AA158 &gt; (1+VLOOKUP($H158,PARÂMETROS!$E:$F,2,FALSE))*$P158),"",AA158)))</f>
        <v/>
      </c>
      <c r="V158" s="237" t="str">
        <f>IF(AG158 = "", "", IF(OR($H158 = PARÂMETROS!$E$5, $H158 = ""), AG158, IF(OR(AG158 &lt; (1-VLOOKUP($H158,PARÂMETROS!$E:$F,2,FALSE))*$P163, AG158 &gt; (1+VLOOKUP($H158,PARÂMETROS!$E:$F,2,FALSE))*$P158),"",AG158)))</f>
        <v/>
      </c>
      <c r="W158" s="237" t="str">
        <f>IF(AM158 = "", "", IF(OR($H158 = PARÂMETROS!$E$5, $H158 = ""), AM158, IF(OR(AM158 &lt; (1-VLOOKUP($H158,PARÂMETROS!$E:$F,2,FALSE))*$P158, AM158 &gt; (1+VLOOKUP($H158,PARÂMETROS!$E:$F,2,FALSE))*$P158),"",AM158)))</f>
        <v/>
      </c>
      <c r="X158" s="237" t="str">
        <f>IF(AS158 = "", "", IF(OR($H158 = PARÂMETROS!$E$5, $H158 = ""), AS158, IF(OR(AS158 &lt; (1-VLOOKUP($H158,PARÂMETROS!$E:$F,2,FALSE))*$P158, AS158 &gt; (1+VLOOKUP($H158,PARÂMETROS!$E:$F,2,FALSE))*$P158),"",AS158)))</f>
        <v/>
      </c>
      <c r="Y158" s="237" t="str">
        <f>IF(AY158 = "", "", IF(OR($H158 = PARÂMETROS!$E$5, $H158 = ""), AY158, IF(OR(AY158 &lt; (1-VLOOKUP($H158,PARÂMETROS!$E:$F,2,FALSE))*$P158, AY158 &gt; (1+VLOOKUP($H158,PARÂMETROS!$E:$F,2,FALSE))*$P158),"",AY158)))</f>
        <v/>
      </c>
      <c r="Z158" s="237" t="str">
        <f>IF(BE158 = "", "", IF(OR($H158 = PARÂMETROS!$E$5, $H158 = ""), BE158, IF(OR(BE158 &lt; (1-VLOOKUP($H158,PARÂMETROS!$E:$F,2,FALSE))*$P158, BE158 &gt; (1+VLOOKUP($H158,PARÂMETROS!$E:$F,2,FALSE))*$P158),"",BE158)))</f>
        <v/>
      </c>
      <c r="AA158" s="207"/>
      <c r="AB158" s="208"/>
      <c r="AC158" s="206" t="str">
        <f>IF(AND(OR(AA158="",AA158=0),OR(AA158="",AB158=0)),"",IF(OR(AA158="",AA158=0),"DEFINIR PREÇO",IF(OR(AB158="",AB158=0),"DEFINIR FORNECEDOR",IF(OR(AA158&lt;&gt;"",AA158&lt;&gt;0),VLOOKUP(AB158,#REF!,2,FALSE)))))</f>
        <v/>
      </c>
      <c r="AD158" s="217"/>
      <c r="AE158" s="218"/>
      <c r="AF158" s="220" t="str">
        <f t="shared" ca="1" si="81"/>
        <v/>
      </c>
      <c r="AG158" s="229"/>
      <c r="AH158" s="231"/>
      <c r="AI158" s="206" t="str">
        <f>IF(AND(OR(AG158="",AG158=0),OR(AG158="",AH158=0)),"",IF(OR(AG158="",AG158=0),"DEFINIR PREÇO",IF(OR(AH158="",AH158=0),"DEFINIR FORNECEDOR",IF(OR(AG158&lt;&gt;"",AG158&lt;&gt;0),VLOOKUP(AH158,#REF!,2,FALSE)))))</f>
        <v/>
      </c>
      <c r="AJ158" s="217"/>
      <c r="AK158" s="218"/>
      <c r="AL158" s="220" t="str">
        <f t="shared" ca="1" si="82"/>
        <v/>
      </c>
      <c r="AM158" s="229"/>
      <c r="AN158" s="231"/>
      <c r="AO158" s="206" t="str">
        <f>IF(AND(OR(AM158="",AM158=0),OR(AM158="",AN158=0)),"",IF(OR(AM158="",AM158=0),"DEFINIR PREÇO",IF(OR(AN158="",AN158=0),"DEFINIR FORNECEDOR",IF(OR(AM158&lt;&gt;"",AM158&lt;&gt;0),VLOOKUP(AN158,#REF!,2,FALSE)))))</f>
        <v/>
      </c>
      <c r="AP158" s="217"/>
      <c r="AQ158" s="218"/>
      <c r="AR158" s="220" t="str">
        <f t="shared" ca="1" si="83"/>
        <v/>
      </c>
      <c r="AS158" s="229"/>
      <c r="AT158" s="231"/>
      <c r="AU158" s="194"/>
      <c r="AV158" s="217"/>
      <c r="AW158" s="218"/>
      <c r="AX158" s="220" t="str">
        <f t="shared" ca="1" si="84"/>
        <v/>
      </c>
      <c r="AY158" s="195"/>
      <c r="AZ158" s="196"/>
      <c r="BA158" s="209" t="str">
        <f>IF(AND(OR(AY158="",AY158=0),OR(AY158="",AZ158=0)),"",IF(OR(AY158="",AY158=0),"DEFINIR PREÇO",IF(OR(AZ158="",AZ158=0),"DEFINIR FORNECEDOR",IF(OR(AY158&lt;&gt;"",AY158&lt;&gt;0),VLOOKUP(AZ158,#REF!,2,FALSE)))))</f>
        <v/>
      </c>
      <c r="BB158" s="194"/>
      <c r="BC158" s="194"/>
      <c r="BD158" s="220" t="str">
        <f t="shared" ca="1" si="85"/>
        <v/>
      </c>
      <c r="BE158" s="195"/>
      <c r="BF158" s="196"/>
      <c r="BG158" s="194"/>
      <c r="BH158" s="194"/>
      <c r="BI158" s="194"/>
      <c r="BJ158" s="197"/>
    </row>
    <row r="159" spans="1:62" ht="51" x14ac:dyDescent="0.25">
      <c r="A159" s="44" t="s">
        <v>405</v>
      </c>
      <c r="B159" s="58" t="s">
        <v>352</v>
      </c>
      <c r="C159" s="45">
        <v>5</v>
      </c>
      <c r="D159" s="55" t="s">
        <v>309</v>
      </c>
      <c r="E159" s="45" t="s">
        <v>23</v>
      </c>
      <c r="F159" s="46">
        <v>2231.46</v>
      </c>
      <c r="G159" s="47">
        <v>2231.46</v>
      </c>
      <c r="H159" s="240" t="s">
        <v>2000</v>
      </c>
      <c r="I159" s="240" t="s">
        <v>2001</v>
      </c>
      <c r="J159" s="242">
        <f>IFERROR(IF(N159&lt;&gt;"",M159,IF(I159 = PARÂMETROS!$B$5,Q159, IF(I159 = PARÂMETROS!$B$6,R159,IF(I159 = PARÂMETROS!$B$7,S159,IF(I159 = PARÂMETROS!$B$8, T159,"DEFINIR CRITÉRIO"))))),"SEM PREÇO")</f>
        <v>2231.46</v>
      </c>
      <c r="K159" s="241">
        <f t="shared" si="74"/>
        <v>0</v>
      </c>
      <c r="L159" s="238" t="str">
        <f t="shared" si="75"/>
        <v/>
      </c>
      <c r="M159" s="46">
        <v>2231.46</v>
      </c>
      <c r="N159" s="52" t="s">
        <v>1047</v>
      </c>
      <c r="O159" s="53"/>
      <c r="P159" s="235">
        <f t="shared" si="76"/>
        <v>0</v>
      </c>
      <c r="Q159" s="236">
        <f t="shared" si="77"/>
        <v>0</v>
      </c>
      <c r="R159" s="236">
        <f t="shared" si="78"/>
        <v>0</v>
      </c>
      <c r="S159" s="236">
        <f t="shared" si="79"/>
        <v>0</v>
      </c>
      <c r="T159" s="236">
        <f t="shared" si="80"/>
        <v>0</v>
      </c>
      <c r="U159" s="237" t="str">
        <f>IF(AA159 = "", "", IF(OR($H159 = PARÂMETROS!$E$5, $H159 = ""), AA159, IF(OR(AA159 &lt; (1-VLOOKUP($H159,PARÂMETROS!$E:$F,2,FALSE))*$P159, AA159 &gt; (1+VLOOKUP($H159,PARÂMETROS!$E:$F,2,FALSE))*$P159),"",AA159)))</f>
        <v/>
      </c>
      <c r="V159" s="237" t="str">
        <f>IF(AG159 = "", "", IF(OR($H159 = PARÂMETROS!$E$5, $H159 = ""), AG159, IF(OR(AG159 &lt; (1-VLOOKUP($H159,PARÂMETROS!$E:$F,2,FALSE))*$P164, AG159 &gt; (1+VLOOKUP($H159,PARÂMETROS!$E:$F,2,FALSE))*$P159),"",AG159)))</f>
        <v/>
      </c>
      <c r="W159" s="237" t="str">
        <f>IF(AM159 = "", "", IF(OR($H159 = PARÂMETROS!$E$5, $H159 = ""), AM159, IF(OR(AM159 &lt; (1-VLOOKUP($H159,PARÂMETROS!$E:$F,2,FALSE))*$P159, AM159 &gt; (1+VLOOKUP($H159,PARÂMETROS!$E:$F,2,FALSE))*$P159),"",AM159)))</f>
        <v/>
      </c>
      <c r="X159" s="237" t="str">
        <f>IF(AS159 = "", "", IF(OR($H159 = PARÂMETROS!$E$5, $H159 = ""), AS159, IF(OR(AS159 &lt; (1-VLOOKUP($H159,PARÂMETROS!$E:$F,2,FALSE))*$P159, AS159 &gt; (1+VLOOKUP($H159,PARÂMETROS!$E:$F,2,FALSE))*$P159),"",AS159)))</f>
        <v/>
      </c>
      <c r="Y159" s="237" t="str">
        <f>IF(AY159 = "", "", IF(OR($H159 = PARÂMETROS!$E$5, $H159 = ""), AY159, IF(OR(AY159 &lt; (1-VLOOKUP($H159,PARÂMETROS!$E:$F,2,FALSE))*$P159, AY159 &gt; (1+VLOOKUP($H159,PARÂMETROS!$E:$F,2,FALSE))*$P159),"",AY159)))</f>
        <v/>
      </c>
      <c r="Z159" s="237" t="str">
        <f>IF(BE159 = "", "", IF(OR($H159 = PARÂMETROS!$E$5, $H159 = ""), BE159, IF(OR(BE159 &lt; (1-VLOOKUP($H159,PARÂMETROS!$E:$F,2,FALSE))*$P159, BE159 &gt; (1+VLOOKUP($H159,PARÂMETROS!$E:$F,2,FALSE))*$P159),"",BE159)))</f>
        <v/>
      </c>
      <c r="AA159" s="207"/>
      <c r="AB159" s="208"/>
      <c r="AC159" s="206" t="str">
        <f>IF(AND(OR(AA159="",AA159=0),OR(AA159="",AB159=0)),"",IF(OR(AA159="",AA159=0),"DEFINIR PREÇO",IF(OR(AB159="",AB159=0),"DEFINIR FORNECEDOR",IF(OR(AA159&lt;&gt;"",AA159&lt;&gt;0),VLOOKUP(AB159,#REF!,2,FALSE)))))</f>
        <v/>
      </c>
      <c r="AD159" s="217"/>
      <c r="AE159" s="218"/>
      <c r="AF159" s="220" t="str">
        <f t="shared" ca="1" si="81"/>
        <v/>
      </c>
      <c r="AG159" s="229"/>
      <c r="AH159" s="231"/>
      <c r="AI159" s="206" t="str">
        <f>IF(AND(OR(AG159="",AG159=0),OR(AG159="",AH159=0)),"",IF(OR(AG159="",AG159=0),"DEFINIR PREÇO",IF(OR(AH159="",AH159=0),"DEFINIR FORNECEDOR",IF(OR(AG159&lt;&gt;"",AG159&lt;&gt;0),VLOOKUP(AH159,#REF!,2,FALSE)))))</f>
        <v/>
      </c>
      <c r="AJ159" s="217"/>
      <c r="AK159" s="218"/>
      <c r="AL159" s="220" t="str">
        <f t="shared" ca="1" si="82"/>
        <v/>
      </c>
      <c r="AM159" s="229"/>
      <c r="AN159" s="231"/>
      <c r="AO159" s="206" t="str">
        <f>IF(AND(OR(AM159="",AM159=0),OR(AM159="",AN159=0)),"",IF(OR(AM159="",AM159=0),"DEFINIR PREÇO",IF(OR(AN159="",AN159=0),"DEFINIR FORNECEDOR",IF(OR(AM159&lt;&gt;"",AM159&lt;&gt;0),VLOOKUP(AN159,#REF!,2,FALSE)))))</f>
        <v/>
      </c>
      <c r="AP159" s="217"/>
      <c r="AQ159" s="218"/>
      <c r="AR159" s="220" t="str">
        <f t="shared" ca="1" si="83"/>
        <v/>
      </c>
      <c r="AS159" s="229"/>
      <c r="AT159" s="231"/>
      <c r="AU159" s="194"/>
      <c r="AV159" s="217"/>
      <c r="AW159" s="218"/>
      <c r="AX159" s="220" t="str">
        <f t="shared" ca="1" si="84"/>
        <v/>
      </c>
      <c r="AY159" s="195"/>
      <c r="AZ159" s="196"/>
      <c r="BA159" s="209" t="str">
        <f>IF(AND(OR(AY159="",AY159=0),OR(AY159="",AZ159=0)),"",IF(OR(AY159="",AY159=0),"DEFINIR PREÇO",IF(OR(AZ159="",AZ159=0),"DEFINIR FORNECEDOR",IF(OR(AY159&lt;&gt;"",AY159&lt;&gt;0),VLOOKUP(AZ159,#REF!,2,FALSE)))))</f>
        <v/>
      </c>
      <c r="BB159" s="194"/>
      <c r="BC159" s="194"/>
      <c r="BD159" s="220" t="str">
        <f t="shared" ca="1" si="85"/>
        <v/>
      </c>
      <c r="BE159" s="195"/>
      <c r="BF159" s="196"/>
      <c r="BG159" s="194"/>
      <c r="BH159" s="194"/>
      <c r="BI159" s="194"/>
      <c r="BJ159" s="197"/>
    </row>
    <row r="160" spans="1:62" ht="38.25" x14ac:dyDescent="0.25">
      <c r="A160" s="44" t="s">
        <v>405</v>
      </c>
      <c r="B160" s="58" t="s">
        <v>353</v>
      </c>
      <c r="C160" s="45">
        <v>5</v>
      </c>
      <c r="D160" s="55" t="s">
        <v>310</v>
      </c>
      <c r="E160" s="45" t="s">
        <v>23</v>
      </c>
      <c r="F160" s="46">
        <v>2708.53</v>
      </c>
      <c r="G160" s="47">
        <v>2708.53</v>
      </c>
      <c r="H160" s="240" t="s">
        <v>2000</v>
      </c>
      <c r="I160" s="240" t="s">
        <v>2001</v>
      </c>
      <c r="J160" s="242">
        <f>IFERROR(IF(N160&lt;&gt;"",M160,IF(I160 = PARÂMETROS!$B$5,Q160, IF(I160 = PARÂMETROS!$B$6,R160,IF(I160 = PARÂMETROS!$B$7,S160,IF(I160 = PARÂMETROS!$B$8, T160,"DEFINIR CRITÉRIO"))))),"SEM PREÇO")</f>
        <v>2708.53</v>
      </c>
      <c r="K160" s="241">
        <f t="shared" si="74"/>
        <v>0</v>
      </c>
      <c r="L160" s="238" t="str">
        <f t="shared" si="75"/>
        <v/>
      </c>
      <c r="M160" s="46">
        <v>2708.53</v>
      </c>
      <c r="N160" s="52" t="s">
        <v>1047</v>
      </c>
      <c r="O160" s="53"/>
      <c r="P160" s="235">
        <f t="shared" si="76"/>
        <v>0</v>
      </c>
      <c r="Q160" s="236">
        <f t="shared" si="77"/>
        <v>0</v>
      </c>
      <c r="R160" s="236">
        <f t="shared" si="78"/>
        <v>0</v>
      </c>
      <c r="S160" s="236">
        <f t="shared" si="79"/>
        <v>0</v>
      </c>
      <c r="T160" s="236">
        <f t="shared" si="80"/>
        <v>0</v>
      </c>
      <c r="U160" s="237" t="str">
        <f>IF(AA160 = "", "", IF(OR($H160 = PARÂMETROS!$E$5, $H160 = ""), AA160, IF(OR(AA160 &lt; (1-VLOOKUP($H160,PARÂMETROS!$E:$F,2,FALSE))*$P160, AA160 &gt; (1+VLOOKUP($H160,PARÂMETROS!$E:$F,2,FALSE))*$P160),"",AA160)))</f>
        <v/>
      </c>
      <c r="V160" s="237" t="str">
        <f>IF(AG160 = "", "", IF(OR($H160 = PARÂMETROS!$E$5, $H160 = ""), AG160, IF(OR(AG160 &lt; (1-VLOOKUP($H160,PARÂMETROS!$E:$F,2,FALSE))*$P165, AG160 &gt; (1+VLOOKUP($H160,PARÂMETROS!$E:$F,2,FALSE))*$P160),"",AG160)))</f>
        <v/>
      </c>
      <c r="W160" s="237" t="str">
        <f>IF(AM160 = "", "", IF(OR($H160 = PARÂMETROS!$E$5, $H160 = ""), AM160, IF(OR(AM160 &lt; (1-VLOOKUP($H160,PARÂMETROS!$E:$F,2,FALSE))*$P160, AM160 &gt; (1+VLOOKUP($H160,PARÂMETROS!$E:$F,2,FALSE))*$P160),"",AM160)))</f>
        <v/>
      </c>
      <c r="X160" s="237" t="str">
        <f>IF(AS160 = "", "", IF(OR($H160 = PARÂMETROS!$E$5, $H160 = ""), AS160, IF(OR(AS160 &lt; (1-VLOOKUP($H160,PARÂMETROS!$E:$F,2,FALSE))*$P160, AS160 &gt; (1+VLOOKUP($H160,PARÂMETROS!$E:$F,2,FALSE))*$P160),"",AS160)))</f>
        <v/>
      </c>
      <c r="Y160" s="237" t="str">
        <f>IF(AY160 = "", "", IF(OR($H160 = PARÂMETROS!$E$5, $H160 = ""), AY160, IF(OR(AY160 &lt; (1-VLOOKUP($H160,PARÂMETROS!$E:$F,2,FALSE))*$P160, AY160 &gt; (1+VLOOKUP($H160,PARÂMETROS!$E:$F,2,FALSE))*$P160),"",AY160)))</f>
        <v/>
      </c>
      <c r="Z160" s="237" t="str">
        <f>IF(BE160 = "", "", IF(OR($H160 = PARÂMETROS!$E$5, $H160 = ""), BE160, IF(OR(BE160 &lt; (1-VLOOKUP($H160,PARÂMETROS!$E:$F,2,FALSE))*$P160, BE160 &gt; (1+VLOOKUP($H160,PARÂMETROS!$E:$F,2,FALSE))*$P160),"",BE160)))</f>
        <v/>
      </c>
      <c r="AA160" s="207"/>
      <c r="AB160" s="208"/>
      <c r="AC160" s="206" t="str">
        <f>IF(AND(OR(AA160="",AA160=0),OR(AA160="",AB160=0)),"",IF(OR(AA160="",AA160=0),"DEFINIR PREÇO",IF(OR(AB160="",AB160=0),"DEFINIR FORNECEDOR",IF(OR(AA160&lt;&gt;"",AA160&lt;&gt;0),VLOOKUP(AB160,#REF!,2,FALSE)))))</f>
        <v/>
      </c>
      <c r="AD160" s="217"/>
      <c r="AE160" s="218"/>
      <c r="AF160" s="220" t="str">
        <f t="shared" ca="1" si="81"/>
        <v/>
      </c>
      <c r="AG160" s="229"/>
      <c r="AH160" s="231"/>
      <c r="AI160" s="206" t="str">
        <f>IF(AND(OR(AG160="",AG160=0),OR(AG160="",AH160=0)),"",IF(OR(AG160="",AG160=0),"DEFINIR PREÇO",IF(OR(AH160="",AH160=0),"DEFINIR FORNECEDOR",IF(OR(AG160&lt;&gt;"",AG160&lt;&gt;0),VLOOKUP(AH160,#REF!,2,FALSE)))))</f>
        <v/>
      </c>
      <c r="AJ160" s="217"/>
      <c r="AK160" s="218"/>
      <c r="AL160" s="220" t="str">
        <f t="shared" ca="1" si="82"/>
        <v/>
      </c>
      <c r="AM160" s="229"/>
      <c r="AN160" s="231"/>
      <c r="AO160" s="206" t="str">
        <f>IF(AND(OR(AM160="",AM160=0),OR(AM160="",AN160=0)),"",IF(OR(AM160="",AM160=0),"DEFINIR PREÇO",IF(OR(AN160="",AN160=0),"DEFINIR FORNECEDOR",IF(OR(AM160&lt;&gt;"",AM160&lt;&gt;0),VLOOKUP(AN160,#REF!,2,FALSE)))))</f>
        <v/>
      </c>
      <c r="AP160" s="217"/>
      <c r="AQ160" s="218"/>
      <c r="AR160" s="220" t="str">
        <f t="shared" ca="1" si="83"/>
        <v/>
      </c>
      <c r="AS160" s="229"/>
      <c r="AT160" s="231"/>
      <c r="AU160" s="194"/>
      <c r="AV160" s="217"/>
      <c r="AW160" s="218"/>
      <c r="AX160" s="220" t="str">
        <f t="shared" ca="1" si="84"/>
        <v/>
      </c>
      <c r="AY160" s="195"/>
      <c r="AZ160" s="196"/>
      <c r="BA160" s="209" t="str">
        <f>IF(AND(OR(AY160="",AY160=0),OR(AY160="",AZ160=0)),"",IF(OR(AY160="",AY160=0),"DEFINIR PREÇO",IF(OR(AZ160="",AZ160=0),"DEFINIR FORNECEDOR",IF(OR(AY160&lt;&gt;"",AY160&lt;&gt;0),VLOOKUP(AZ160,#REF!,2,FALSE)))))</f>
        <v/>
      </c>
      <c r="BB160" s="194"/>
      <c r="BC160" s="194"/>
      <c r="BD160" s="220" t="str">
        <f t="shared" ca="1" si="85"/>
        <v/>
      </c>
      <c r="BE160" s="195"/>
      <c r="BF160" s="196"/>
      <c r="BG160" s="194"/>
      <c r="BH160" s="194"/>
      <c r="BI160" s="194"/>
      <c r="BJ160" s="197"/>
    </row>
    <row r="161" spans="1:71" ht="25.5" x14ac:dyDescent="0.25">
      <c r="A161" s="44" t="s">
        <v>405</v>
      </c>
      <c r="B161" s="58" t="s">
        <v>396</v>
      </c>
      <c r="C161" s="45">
        <v>5</v>
      </c>
      <c r="D161" s="55" t="s">
        <v>395</v>
      </c>
      <c r="E161" s="45" t="s">
        <v>283</v>
      </c>
      <c r="F161" s="46">
        <v>386.27</v>
      </c>
      <c r="G161" s="47">
        <v>386.27</v>
      </c>
      <c r="H161" s="240" t="s">
        <v>2000</v>
      </c>
      <c r="I161" s="240" t="s">
        <v>2001</v>
      </c>
      <c r="J161" s="242">
        <f>IFERROR(IF(N161&lt;&gt;"",M161,IF(I161 = PARÂMETROS!$B$5,Q161, IF(I161 = PARÂMETROS!$B$6,R161,IF(I161 = PARÂMETROS!$B$7,S161,IF(I161 = PARÂMETROS!$B$8, T161,"DEFINIR CRITÉRIO"))))),"SEM PREÇO")</f>
        <v>386.27</v>
      </c>
      <c r="K161" s="241">
        <f t="shared" si="74"/>
        <v>0</v>
      </c>
      <c r="L161" s="238" t="str">
        <f t="shared" si="75"/>
        <v/>
      </c>
      <c r="M161" s="46">
        <v>386.27</v>
      </c>
      <c r="N161" s="52" t="s">
        <v>1047</v>
      </c>
      <c r="O161" s="53"/>
      <c r="P161" s="235">
        <f t="shared" si="76"/>
        <v>0</v>
      </c>
      <c r="Q161" s="236">
        <f t="shared" si="77"/>
        <v>0</v>
      </c>
      <c r="R161" s="236">
        <f t="shared" si="78"/>
        <v>0</v>
      </c>
      <c r="S161" s="236">
        <f t="shared" si="79"/>
        <v>0</v>
      </c>
      <c r="T161" s="236">
        <f t="shared" si="80"/>
        <v>0</v>
      </c>
      <c r="U161" s="237" t="str">
        <f>IF(AA161 = "", "", IF(OR($H161 = PARÂMETROS!$E$5, $H161 = ""), AA161, IF(OR(AA161 &lt; (1-VLOOKUP($H161,PARÂMETROS!$E:$F,2,FALSE))*$P161, AA161 &gt; (1+VLOOKUP($H161,PARÂMETROS!$E:$F,2,FALSE))*$P161),"",AA161)))</f>
        <v/>
      </c>
      <c r="V161" s="237" t="str">
        <f>IF(AG161 = "", "", IF(OR($H161 = PARÂMETROS!$E$5, $H161 = ""), AG161, IF(OR(AG161 &lt; (1-VLOOKUP($H161,PARÂMETROS!$E:$F,2,FALSE))*$P166, AG161 &gt; (1+VLOOKUP($H161,PARÂMETROS!$E:$F,2,FALSE))*$P161),"",AG161)))</f>
        <v/>
      </c>
      <c r="W161" s="237" t="str">
        <f>IF(AM161 = "", "", IF(OR($H161 = PARÂMETROS!$E$5, $H161 = ""), AM161, IF(OR(AM161 &lt; (1-VLOOKUP($H161,PARÂMETROS!$E:$F,2,FALSE))*$P161, AM161 &gt; (1+VLOOKUP($H161,PARÂMETROS!$E:$F,2,FALSE))*$P161),"",AM161)))</f>
        <v/>
      </c>
      <c r="X161" s="237" t="str">
        <f>IF(AS161 = "", "", IF(OR($H161 = PARÂMETROS!$E$5, $H161 = ""), AS161, IF(OR(AS161 &lt; (1-VLOOKUP($H161,PARÂMETROS!$E:$F,2,FALSE))*$P161, AS161 &gt; (1+VLOOKUP($H161,PARÂMETROS!$E:$F,2,FALSE))*$P161),"",AS161)))</f>
        <v/>
      </c>
      <c r="Y161" s="237" t="str">
        <f>IF(AY161 = "", "", IF(OR($H161 = PARÂMETROS!$E$5, $H161 = ""), AY161, IF(OR(AY161 &lt; (1-VLOOKUP($H161,PARÂMETROS!$E:$F,2,FALSE))*$P161, AY161 &gt; (1+VLOOKUP($H161,PARÂMETROS!$E:$F,2,FALSE))*$P161),"",AY161)))</f>
        <v/>
      </c>
      <c r="Z161" s="237" t="str">
        <f>IF(BE161 = "", "", IF(OR($H161 = PARÂMETROS!$E$5, $H161 = ""), BE161, IF(OR(BE161 &lt; (1-VLOOKUP($H161,PARÂMETROS!$E:$F,2,FALSE))*$P161, BE161 &gt; (1+VLOOKUP($H161,PARÂMETROS!$E:$F,2,FALSE))*$P161),"",BE161)))</f>
        <v/>
      </c>
      <c r="AA161" s="207"/>
      <c r="AB161" s="208"/>
      <c r="AC161" s="206" t="str">
        <f>IF(AND(OR(AA161="",AA161=0),OR(AA161="",AB161=0)),"",IF(OR(AA161="",AA161=0),"DEFINIR PREÇO",IF(OR(AB161="",AB161=0),"DEFINIR FORNECEDOR",IF(OR(AA161&lt;&gt;"",AA161&lt;&gt;0),VLOOKUP(AB161,#REF!,2,FALSE)))))</f>
        <v/>
      </c>
      <c r="AD161" s="217"/>
      <c r="AE161" s="218"/>
      <c r="AF161" s="220" t="str">
        <f t="shared" ca="1" si="81"/>
        <v/>
      </c>
      <c r="AG161" s="229"/>
      <c r="AH161" s="231"/>
      <c r="AI161" s="206" t="str">
        <f>IF(AND(OR(AG161="",AG161=0),OR(AG161="",AH161=0)),"",IF(OR(AG161="",AG161=0),"DEFINIR PREÇO",IF(OR(AH161="",AH161=0),"DEFINIR FORNECEDOR",IF(OR(AG161&lt;&gt;"",AG161&lt;&gt;0),VLOOKUP(AH161,#REF!,2,FALSE)))))</f>
        <v/>
      </c>
      <c r="AJ161" s="217"/>
      <c r="AK161" s="218"/>
      <c r="AL161" s="220" t="str">
        <f t="shared" ca="1" si="82"/>
        <v/>
      </c>
      <c r="AM161" s="229"/>
      <c r="AN161" s="231"/>
      <c r="AO161" s="206" t="str">
        <f>IF(AND(OR(AM161="",AM161=0),OR(AM161="",AN161=0)),"",IF(OR(AM161="",AM161=0),"DEFINIR PREÇO",IF(OR(AN161="",AN161=0),"DEFINIR FORNECEDOR",IF(OR(AM161&lt;&gt;"",AM161&lt;&gt;0),VLOOKUP(AN161,#REF!,2,FALSE)))))</f>
        <v/>
      </c>
      <c r="AP161" s="217"/>
      <c r="AQ161" s="218"/>
      <c r="AR161" s="220" t="str">
        <f t="shared" ca="1" si="83"/>
        <v/>
      </c>
      <c r="AS161" s="229"/>
      <c r="AT161" s="231"/>
      <c r="AU161" s="194"/>
      <c r="AV161" s="217"/>
      <c r="AW161" s="218"/>
      <c r="AX161" s="220" t="str">
        <f t="shared" ca="1" si="84"/>
        <v/>
      </c>
      <c r="AY161" s="195"/>
      <c r="AZ161" s="196"/>
      <c r="BA161" s="209" t="str">
        <f>IF(AND(OR(AY161="",AY161=0),OR(AY161="",AZ161=0)),"",IF(OR(AY161="",AY161=0),"DEFINIR PREÇO",IF(OR(AZ161="",AZ161=0),"DEFINIR FORNECEDOR",IF(OR(AY161&lt;&gt;"",AY161&lt;&gt;0),VLOOKUP(AZ161,#REF!,2,FALSE)))))</f>
        <v/>
      </c>
      <c r="BB161" s="194"/>
      <c r="BC161" s="194"/>
      <c r="BD161" s="220" t="str">
        <f t="shared" ca="1" si="85"/>
        <v/>
      </c>
      <c r="BE161" s="195"/>
      <c r="BF161" s="196"/>
      <c r="BG161" s="194"/>
      <c r="BH161" s="194"/>
      <c r="BI161" s="194"/>
      <c r="BJ161" s="197"/>
    </row>
    <row r="162" spans="1:71" ht="38.25" x14ac:dyDescent="0.25">
      <c r="A162" s="44" t="s">
        <v>405</v>
      </c>
      <c r="B162" s="58" t="s">
        <v>398</v>
      </c>
      <c r="C162" s="45">
        <v>5</v>
      </c>
      <c r="D162" s="55" t="s">
        <v>397</v>
      </c>
      <c r="E162" s="45" t="s">
        <v>20</v>
      </c>
      <c r="F162" s="46">
        <v>1573.18</v>
      </c>
      <c r="G162" s="47">
        <v>1573.18</v>
      </c>
      <c r="H162" s="240" t="s">
        <v>2000</v>
      </c>
      <c r="I162" s="240" t="s">
        <v>2001</v>
      </c>
      <c r="J162" s="242">
        <f>IFERROR(IF(N162&lt;&gt;"",M162,IF(I162 = PARÂMETROS!$B$5,Q162, IF(I162 = PARÂMETROS!$B$6,R162,IF(I162 = PARÂMETROS!$B$7,S162,IF(I162 = PARÂMETROS!$B$8, T162,"DEFINIR CRITÉRIO"))))),"SEM PREÇO")</f>
        <v>1573.18</v>
      </c>
      <c r="K162" s="241">
        <f t="shared" si="74"/>
        <v>0</v>
      </c>
      <c r="L162" s="238" t="str">
        <f t="shared" si="75"/>
        <v/>
      </c>
      <c r="M162" s="46">
        <v>1573.18</v>
      </c>
      <c r="N162" s="52" t="s">
        <v>1047</v>
      </c>
      <c r="O162" s="53"/>
      <c r="P162" s="235">
        <f t="shared" si="76"/>
        <v>0</v>
      </c>
      <c r="Q162" s="236">
        <f t="shared" si="77"/>
        <v>0</v>
      </c>
      <c r="R162" s="236">
        <f t="shared" si="78"/>
        <v>0</v>
      </c>
      <c r="S162" s="236">
        <f t="shared" si="79"/>
        <v>0</v>
      </c>
      <c r="T162" s="236">
        <f t="shared" si="80"/>
        <v>0</v>
      </c>
      <c r="U162" s="237" t="str">
        <f>IF(AA162 = "", "", IF(OR($H162 = PARÂMETROS!$E$5, $H162 = ""), AA162, IF(OR(AA162 &lt; (1-VLOOKUP($H162,PARÂMETROS!$E:$F,2,FALSE))*$P162, AA162 &gt; (1+VLOOKUP($H162,PARÂMETROS!$E:$F,2,FALSE))*$P162),"",AA162)))</f>
        <v/>
      </c>
      <c r="V162" s="237" t="str">
        <f>IF(AG162 = "", "", IF(OR($H162 = PARÂMETROS!$E$5, $H162 = ""), AG162, IF(OR(AG162 &lt; (1-VLOOKUP($H162,PARÂMETROS!$E:$F,2,FALSE))*$P167, AG162 &gt; (1+VLOOKUP($H162,PARÂMETROS!$E:$F,2,FALSE))*$P162),"",AG162)))</f>
        <v/>
      </c>
      <c r="W162" s="237" t="str">
        <f>IF(AM162 = "", "", IF(OR($H162 = PARÂMETROS!$E$5, $H162 = ""), AM162, IF(OR(AM162 &lt; (1-VLOOKUP($H162,PARÂMETROS!$E:$F,2,FALSE))*$P162, AM162 &gt; (1+VLOOKUP($H162,PARÂMETROS!$E:$F,2,FALSE))*$P162),"",AM162)))</f>
        <v/>
      </c>
      <c r="X162" s="237" t="str">
        <f>IF(AS162 = "", "", IF(OR($H162 = PARÂMETROS!$E$5, $H162 = ""), AS162, IF(OR(AS162 &lt; (1-VLOOKUP($H162,PARÂMETROS!$E:$F,2,FALSE))*$P162, AS162 &gt; (1+VLOOKUP($H162,PARÂMETROS!$E:$F,2,FALSE))*$P162),"",AS162)))</f>
        <v/>
      </c>
      <c r="Y162" s="237" t="str">
        <f>IF(AY162 = "", "", IF(OR($H162 = PARÂMETROS!$E$5, $H162 = ""), AY162, IF(OR(AY162 &lt; (1-VLOOKUP($H162,PARÂMETROS!$E:$F,2,FALSE))*$P162, AY162 &gt; (1+VLOOKUP($H162,PARÂMETROS!$E:$F,2,FALSE))*$P162),"",AY162)))</f>
        <v/>
      </c>
      <c r="Z162" s="237" t="str">
        <f>IF(BE162 = "", "", IF(OR($H162 = PARÂMETROS!$E$5, $H162 = ""), BE162, IF(OR(BE162 &lt; (1-VLOOKUP($H162,PARÂMETROS!$E:$F,2,FALSE))*$P162, BE162 &gt; (1+VLOOKUP($H162,PARÂMETROS!$E:$F,2,FALSE))*$P162),"",BE162)))</f>
        <v/>
      </c>
      <c r="AA162" s="207"/>
      <c r="AB162" s="208"/>
      <c r="AC162" s="206" t="str">
        <f>IF(AND(OR(AA162="",AA162=0),OR(AA162="",AB162=0)),"",IF(OR(AA162="",AA162=0),"DEFINIR PREÇO",IF(OR(AB162="",AB162=0),"DEFINIR FORNECEDOR",IF(OR(AA162&lt;&gt;"",AA162&lt;&gt;0),VLOOKUP(AB162,#REF!,2,FALSE)))))</f>
        <v/>
      </c>
      <c r="AD162" s="217"/>
      <c r="AE162" s="218"/>
      <c r="AF162" s="220" t="str">
        <f t="shared" ca="1" si="81"/>
        <v/>
      </c>
      <c r="AG162" s="229"/>
      <c r="AH162" s="231"/>
      <c r="AI162" s="206" t="str">
        <f>IF(AND(OR(AG162="",AG162=0),OR(AG162="",AH162=0)),"",IF(OR(AG162="",AG162=0),"DEFINIR PREÇO",IF(OR(AH162="",AH162=0),"DEFINIR FORNECEDOR",IF(OR(AG162&lt;&gt;"",AG162&lt;&gt;0),VLOOKUP(AH162,#REF!,2,FALSE)))))</f>
        <v/>
      </c>
      <c r="AJ162" s="217"/>
      <c r="AK162" s="218"/>
      <c r="AL162" s="220" t="str">
        <f t="shared" ca="1" si="82"/>
        <v/>
      </c>
      <c r="AM162" s="229"/>
      <c r="AN162" s="231"/>
      <c r="AO162" s="206" t="str">
        <f>IF(AND(OR(AM162="",AM162=0),OR(AM162="",AN162=0)),"",IF(OR(AM162="",AM162=0),"DEFINIR PREÇO",IF(OR(AN162="",AN162=0),"DEFINIR FORNECEDOR",IF(OR(AM162&lt;&gt;"",AM162&lt;&gt;0),VLOOKUP(AN162,#REF!,2,FALSE)))))</f>
        <v/>
      </c>
      <c r="AP162" s="217"/>
      <c r="AQ162" s="218"/>
      <c r="AR162" s="220" t="str">
        <f t="shared" ca="1" si="83"/>
        <v/>
      </c>
      <c r="AS162" s="229"/>
      <c r="AT162" s="231"/>
      <c r="AU162" s="194"/>
      <c r="AV162" s="217"/>
      <c r="AW162" s="218"/>
      <c r="AX162" s="220" t="str">
        <f t="shared" ca="1" si="84"/>
        <v/>
      </c>
      <c r="AY162" s="195"/>
      <c r="AZ162" s="196"/>
      <c r="BA162" s="209" t="str">
        <f>IF(AND(OR(AY162="",AY162=0),OR(AY162="",AZ162=0)),"",IF(OR(AY162="",AY162=0),"DEFINIR PREÇO",IF(OR(AZ162="",AZ162=0),"DEFINIR FORNECEDOR",IF(OR(AY162&lt;&gt;"",AY162&lt;&gt;0),VLOOKUP(AZ162,#REF!,2,FALSE)))))</f>
        <v/>
      </c>
      <c r="BB162" s="194"/>
      <c r="BC162" s="194"/>
      <c r="BD162" s="220" t="str">
        <f t="shared" ca="1" si="85"/>
        <v/>
      </c>
      <c r="BE162" s="195"/>
      <c r="BF162" s="196"/>
      <c r="BG162" s="194"/>
      <c r="BH162" s="194"/>
      <c r="BI162" s="194"/>
      <c r="BJ162" s="197"/>
    </row>
    <row r="163" spans="1:71" ht="25.5" x14ac:dyDescent="0.25">
      <c r="A163" s="44" t="s">
        <v>405</v>
      </c>
      <c r="B163" s="58" t="s">
        <v>400</v>
      </c>
      <c r="C163" s="45">
        <v>5</v>
      </c>
      <c r="D163" s="55" t="s">
        <v>399</v>
      </c>
      <c r="E163" s="45" t="s">
        <v>20</v>
      </c>
      <c r="F163" s="46">
        <v>948.75</v>
      </c>
      <c r="G163" s="47">
        <v>948.75</v>
      </c>
      <c r="H163" s="240" t="s">
        <v>2000</v>
      </c>
      <c r="I163" s="240" t="s">
        <v>2001</v>
      </c>
      <c r="J163" s="242">
        <f>IFERROR(IF(N163&lt;&gt;"",M163,IF(I163 = PARÂMETROS!$B$5,Q163, IF(I163 = PARÂMETROS!$B$6,R163,IF(I163 = PARÂMETROS!$B$7,S163,IF(I163 = PARÂMETROS!$B$8, T163,"DEFINIR CRITÉRIO"))))),"SEM PREÇO")</f>
        <v>948.75</v>
      </c>
      <c r="K163" s="241">
        <f t="shared" si="74"/>
        <v>0</v>
      </c>
      <c r="L163" s="238" t="str">
        <f t="shared" si="75"/>
        <v/>
      </c>
      <c r="M163" s="46">
        <v>948.75</v>
      </c>
      <c r="N163" s="52" t="s">
        <v>1047</v>
      </c>
      <c r="O163" s="53"/>
      <c r="P163" s="235">
        <f t="shared" si="76"/>
        <v>0</v>
      </c>
      <c r="Q163" s="236">
        <f t="shared" si="77"/>
        <v>0</v>
      </c>
      <c r="R163" s="236">
        <f t="shared" si="78"/>
        <v>0</v>
      </c>
      <c r="S163" s="236">
        <f t="shared" si="79"/>
        <v>0</v>
      </c>
      <c r="T163" s="236">
        <f t="shared" si="80"/>
        <v>0</v>
      </c>
      <c r="U163" s="237" t="str">
        <f>IF(AA163 = "", "", IF(OR($H163 = PARÂMETROS!$E$5, $H163 = ""), AA163, IF(OR(AA163 &lt; (1-VLOOKUP($H163,PARÂMETROS!$E:$F,2,FALSE))*$P163, AA163 &gt; (1+VLOOKUP($H163,PARÂMETROS!$E:$F,2,FALSE))*$P163),"",AA163)))</f>
        <v/>
      </c>
      <c r="V163" s="237" t="str">
        <f>IF(AG163 = "", "", IF(OR($H163 = PARÂMETROS!$E$5, $H163 = ""), AG163, IF(OR(AG163 &lt; (1-VLOOKUP($H163,PARÂMETROS!$E:$F,2,FALSE))*$P168, AG163 &gt; (1+VLOOKUP($H163,PARÂMETROS!$E:$F,2,FALSE))*$P163),"",AG163)))</f>
        <v/>
      </c>
      <c r="W163" s="237" t="str">
        <f>IF(AM163 = "", "", IF(OR($H163 = PARÂMETROS!$E$5, $H163 = ""), AM163, IF(OR(AM163 &lt; (1-VLOOKUP($H163,PARÂMETROS!$E:$F,2,FALSE))*$P163, AM163 &gt; (1+VLOOKUP($H163,PARÂMETROS!$E:$F,2,FALSE))*$P163),"",AM163)))</f>
        <v/>
      </c>
      <c r="X163" s="237" t="str">
        <f>IF(AS163 = "", "", IF(OR($H163 = PARÂMETROS!$E$5, $H163 = ""), AS163, IF(OR(AS163 &lt; (1-VLOOKUP($H163,PARÂMETROS!$E:$F,2,FALSE))*$P163, AS163 &gt; (1+VLOOKUP($H163,PARÂMETROS!$E:$F,2,FALSE))*$P163),"",AS163)))</f>
        <v/>
      </c>
      <c r="Y163" s="237" t="str">
        <f>IF(AY163 = "", "", IF(OR($H163 = PARÂMETROS!$E$5, $H163 = ""), AY163, IF(OR(AY163 &lt; (1-VLOOKUP($H163,PARÂMETROS!$E:$F,2,FALSE))*$P163, AY163 &gt; (1+VLOOKUP($H163,PARÂMETROS!$E:$F,2,FALSE))*$P163),"",AY163)))</f>
        <v/>
      </c>
      <c r="Z163" s="237" t="str">
        <f>IF(BE163 = "", "", IF(OR($H163 = PARÂMETROS!$E$5, $H163 = ""), BE163, IF(OR(BE163 &lt; (1-VLOOKUP($H163,PARÂMETROS!$E:$F,2,FALSE))*$P163, BE163 &gt; (1+VLOOKUP($H163,PARÂMETROS!$E:$F,2,FALSE))*$P163),"",BE163)))</f>
        <v/>
      </c>
      <c r="AA163" s="207"/>
      <c r="AB163" s="208"/>
      <c r="AC163" s="206" t="str">
        <f>IF(AND(OR(AA163="",AA163=0),OR(AA163="",AB163=0)),"",IF(OR(AA163="",AA163=0),"DEFINIR PREÇO",IF(OR(AB163="",AB163=0),"DEFINIR FORNECEDOR",IF(OR(AA163&lt;&gt;"",AA163&lt;&gt;0),VLOOKUP(AB163,#REF!,2,FALSE)))))</f>
        <v/>
      </c>
      <c r="AD163" s="217"/>
      <c r="AE163" s="218"/>
      <c r="AF163" s="220" t="str">
        <f t="shared" ca="1" si="81"/>
        <v/>
      </c>
      <c r="AG163" s="229"/>
      <c r="AH163" s="231"/>
      <c r="AI163" s="206" t="str">
        <f>IF(AND(OR(AG163="",AG163=0),OR(AG163="",AH163=0)),"",IF(OR(AG163="",AG163=0),"DEFINIR PREÇO",IF(OR(AH163="",AH163=0),"DEFINIR FORNECEDOR",IF(OR(AG163&lt;&gt;"",AG163&lt;&gt;0),VLOOKUP(AH163,#REF!,2,FALSE)))))</f>
        <v/>
      </c>
      <c r="AJ163" s="217"/>
      <c r="AK163" s="218"/>
      <c r="AL163" s="220" t="str">
        <f t="shared" ca="1" si="82"/>
        <v/>
      </c>
      <c r="AM163" s="229"/>
      <c r="AN163" s="231"/>
      <c r="AO163" s="206" t="str">
        <f>IF(AND(OR(AM163="",AM163=0),OR(AM163="",AN163=0)),"",IF(OR(AM163="",AM163=0),"DEFINIR PREÇO",IF(OR(AN163="",AN163=0),"DEFINIR FORNECEDOR",IF(OR(AM163&lt;&gt;"",AM163&lt;&gt;0),VLOOKUP(AN163,#REF!,2,FALSE)))))</f>
        <v/>
      </c>
      <c r="AP163" s="217"/>
      <c r="AQ163" s="218"/>
      <c r="AR163" s="220" t="str">
        <f t="shared" ca="1" si="83"/>
        <v/>
      </c>
      <c r="AS163" s="229"/>
      <c r="AT163" s="231"/>
      <c r="AU163" s="194"/>
      <c r="AV163" s="217"/>
      <c r="AW163" s="218"/>
      <c r="AX163" s="220" t="str">
        <f t="shared" ca="1" si="84"/>
        <v/>
      </c>
      <c r="AY163" s="195"/>
      <c r="AZ163" s="196"/>
      <c r="BA163" s="209" t="str">
        <f>IF(AND(OR(AY163="",AY163=0),OR(AY163="",AZ163=0)),"",IF(OR(AY163="",AY163=0),"DEFINIR PREÇO",IF(OR(AZ163="",AZ163=0),"DEFINIR FORNECEDOR",IF(OR(AY163&lt;&gt;"",AY163&lt;&gt;0),VLOOKUP(AZ163,#REF!,2,FALSE)))))</f>
        <v/>
      </c>
      <c r="BB163" s="194"/>
      <c r="BC163" s="194"/>
      <c r="BD163" s="220" t="str">
        <f t="shared" ca="1" si="85"/>
        <v/>
      </c>
      <c r="BE163" s="195"/>
      <c r="BF163" s="196"/>
      <c r="BG163" s="194"/>
      <c r="BH163" s="194"/>
      <c r="BI163" s="194"/>
      <c r="BJ163" s="197"/>
    </row>
    <row r="164" spans="1:71" s="65" customFormat="1" ht="30" x14ac:dyDescent="0.25">
      <c r="A164" s="160" t="s">
        <v>405</v>
      </c>
      <c r="B164" s="161" t="s">
        <v>1052</v>
      </c>
      <c r="C164" s="157">
        <v>5</v>
      </c>
      <c r="D164" s="179" t="s">
        <v>1284</v>
      </c>
      <c r="E164" s="157" t="s">
        <v>23</v>
      </c>
      <c r="F164" s="46" t="str">
        <f>J164</f>
        <v>DEFINIR CRITÉRIO</v>
      </c>
      <c r="G164" s="47" t="str">
        <f>J164</f>
        <v>DEFINIR CRITÉRIO</v>
      </c>
      <c r="H164" s="240" t="s">
        <v>2000</v>
      </c>
      <c r="I164" s="240" t="s">
        <v>2001</v>
      </c>
      <c r="J164" s="242" t="str">
        <f>IFERROR(IF(N164&lt;&gt;"",M164,IF(I164 = PARÂMETROS!$B$5,Q164, IF(I164 = PARÂMETROS!$B$6,R164,IF(I164 = PARÂMETROS!$B$7,S164,IF(I164 = PARÂMETROS!$B$8, T164,"DEFINIR CRITÉRIO"))))),"SEM PREÇO")</f>
        <v>DEFINIR CRITÉRIO</v>
      </c>
      <c r="K164" s="241" t="str">
        <f t="shared" si="74"/>
        <v/>
      </c>
      <c r="L164" s="238" t="str">
        <f t="shared" si="75"/>
        <v/>
      </c>
      <c r="M164" s="163"/>
      <c r="N164" s="164"/>
      <c r="O164" s="165"/>
      <c r="P164" s="235">
        <f t="shared" si="76"/>
        <v>1700</v>
      </c>
      <c r="Q164" s="236">
        <f t="shared" si="77"/>
        <v>0</v>
      </c>
      <c r="R164" s="236">
        <f t="shared" si="78"/>
        <v>0</v>
      </c>
      <c r="S164" s="236">
        <f t="shared" si="79"/>
        <v>0</v>
      </c>
      <c r="T164" s="236">
        <f t="shared" si="80"/>
        <v>0</v>
      </c>
      <c r="U164" s="237" t="e">
        <f>IF(AA164 = "", "", IF(OR($H164 = PARÂMETROS!$E$5, $H164 = ""), AA164, IF(OR(AA164 &lt; (1-VLOOKUP($H164,PARÂMETROS!$E:$F,2,FALSE))*$P164, AA164 &gt; (1+VLOOKUP($H164,PARÂMETROS!$E:$F,2,FALSE))*$P164),"",AA164)))</f>
        <v>#N/A</v>
      </c>
      <c r="V164" s="237" t="str">
        <f>IF(AG164 = "", "", IF(OR($H164 = PARÂMETROS!$E$5, $H164 = ""), AG164, IF(OR(AG164 &lt; (1-VLOOKUP($H164,PARÂMETROS!$E:$F,2,FALSE))*$P169, AG164 &gt; (1+VLOOKUP($H164,PARÂMETROS!$E:$F,2,FALSE))*$P164),"",AG164)))</f>
        <v/>
      </c>
      <c r="W164" s="237" t="str">
        <f>IF(AM164 = "", "", IF(OR($H164 = PARÂMETROS!$E$5, $H164 = ""), AM164, IF(OR(AM164 &lt; (1-VLOOKUP($H164,PARÂMETROS!$E:$F,2,FALSE))*$P164, AM164 &gt; (1+VLOOKUP($H164,PARÂMETROS!$E:$F,2,FALSE))*$P164),"",AM164)))</f>
        <v/>
      </c>
      <c r="X164" s="237" t="str">
        <f>IF(AS164 = "", "", IF(OR($H164 = PARÂMETROS!$E$5, $H164 = ""), AS164, IF(OR(AS164 &lt; (1-VLOOKUP($H164,PARÂMETROS!$E:$F,2,FALSE))*$P164, AS164 &gt; (1+VLOOKUP($H164,PARÂMETROS!$E:$F,2,FALSE))*$P164),"",AS164)))</f>
        <v/>
      </c>
      <c r="Y164" s="237" t="str">
        <f>IF(AY164 = "", "", IF(OR($H164 = PARÂMETROS!$E$5, $H164 = ""), AY164, IF(OR(AY164 &lt; (1-VLOOKUP($H164,PARÂMETROS!$E:$F,2,FALSE))*$P164, AY164 &gt; (1+VLOOKUP($H164,PARÂMETROS!$E:$F,2,FALSE))*$P164),"",AY164)))</f>
        <v/>
      </c>
      <c r="Z164" s="237" t="str">
        <f>IF(BE164 = "", "", IF(OR($H164 = PARÂMETROS!$E$5, $H164 = ""), BE164, IF(OR(BE164 &lt; (1-VLOOKUP($H164,PARÂMETROS!$E:$F,2,FALSE))*$P164, BE164 &gt; (1+VLOOKUP($H164,PARÂMETROS!$E:$F,2,FALSE))*$P164),"",BE164)))</f>
        <v/>
      </c>
      <c r="AA164" s="49">
        <f>600+500+600</f>
        <v>1700</v>
      </c>
      <c r="AB164" s="50">
        <v>2001</v>
      </c>
      <c r="AC164" s="206" t="e">
        <f>IF(AND(OR(AA164="",AA164=0),OR(AA164="",AB164=0)),"",IF(OR(AA164="",AA164=0),"DEFINIR PREÇO",IF(OR(AB164="",AB164=0),"DEFINIR FORNECEDOR",IF(OR(AA164&lt;&gt;"",AA164&lt;&gt;0),VLOOKUP(AB164,#REF!,2,FALSE)))))</f>
        <v>#REF!</v>
      </c>
      <c r="AD164" s="217"/>
      <c r="AE164" s="218">
        <v>44739</v>
      </c>
      <c r="AF164" s="220" t="str">
        <f t="shared" ca="1" si="81"/>
        <v>DESATUALIZADA</v>
      </c>
      <c r="AG164" s="229"/>
      <c r="AH164" s="231"/>
      <c r="AI164" s="206" t="str">
        <f>IF(AND(OR(AG164="",AG164=0),OR(AG164="",AH164=0)),"",IF(OR(AG164="",AG164=0),"DEFINIR PREÇO",IF(OR(AH164="",AH164=0),"DEFINIR FORNECEDOR",IF(OR(AG164&lt;&gt;"",AG164&lt;&gt;0),VLOOKUP(AH164,#REF!,2,FALSE)))))</f>
        <v/>
      </c>
      <c r="AJ164" s="217"/>
      <c r="AK164" s="218"/>
      <c r="AL164" s="220" t="str">
        <f t="shared" ca="1" si="82"/>
        <v/>
      </c>
      <c r="AM164" s="229"/>
      <c r="AN164" s="231"/>
      <c r="AO164" s="206" t="str">
        <f>IF(AND(OR(AM164="",AM164=0),OR(AM164="",AN164=0)),"",IF(OR(AM164="",AM164=0),"DEFINIR PREÇO",IF(OR(AN164="",AN164=0),"DEFINIR FORNECEDOR",IF(OR(AM164&lt;&gt;"",AM164&lt;&gt;0),VLOOKUP(AN164,#REF!,2,FALSE)))))</f>
        <v/>
      </c>
      <c r="AP164" s="217"/>
      <c r="AQ164" s="218"/>
      <c r="AR164" s="220" t="str">
        <f t="shared" ca="1" si="83"/>
        <v/>
      </c>
      <c r="AS164" s="229"/>
      <c r="AT164" s="231"/>
      <c r="AU164" s="155"/>
      <c r="AV164" s="217"/>
      <c r="AW164" s="218"/>
      <c r="AX164" s="220" t="str">
        <f t="shared" ca="1" si="84"/>
        <v/>
      </c>
      <c r="AY164" s="153"/>
      <c r="AZ164" s="154"/>
      <c r="BA164" s="209" t="str">
        <f>IF(AND(OR(AY164="",AY164=0),OR(AY164="",AZ164=0)),"",IF(OR(AY164="",AY164=0),"DEFINIR PREÇO",IF(OR(AZ164="",AZ164=0),"DEFINIR FORNECEDOR",IF(OR(AY164&lt;&gt;"",AY164&lt;&gt;0),VLOOKUP(AZ164,#REF!,2,FALSE)))))</f>
        <v/>
      </c>
      <c r="BB164" s="155"/>
      <c r="BC164" s="155"/>
      <c r="BD164" s="220" t="str">
        <f t="shared" ca="1" si="85"/>
        <v/>
      </c>
      <c r="BE164" s="153"/>
      <c r="BF164" s="154"/>
      <c r="BG164" s="155"/>
      <c r="BH164" s="155"/>
      <c r="BI164" s="155"/>
      <c r="BJ164" s="156"/>
      <c r="BP164" s="213"/>
      <c r="BQ164" s="213"/>
      <c r="BR164" s="213"/>
      <c r="BS164" s="213"/>
    </row>
    <row r="165" spans="1:71" x14ac:dyDescent="0.25">
      <c r="A165" s="44" t="s">
        <v>405</v>
      </c>
      <c r="B165" s="58" t="s">
        <v>319</v>
      </c>
      <c r="C165" s="45">
        <v>5</v>
      </c>
      <c r="D165" s="55" t="s">
        <v>273</v>
      </c>
      <c r="E165" s="45" t="s">
        <v>23</v>
      </c>
      <c r="F165" s="46" t="e">
        <f>CADASTRO!O28</f>
        <v>#REF!</v>
      </c>
      <c r="G165" s="47" t="e">
        <f>CADASTRO!Q28</f>
        <v>#REF!</v>
      </c>
      <c r="H165" s="240" t="s">
        <v>2000</v>
      </c>
      <c r="I165" s="240" t="s">
        <v>2001</v>
      </c>
      <c r="J165" s="242" t="str">
        <f>IFERROR(IF(N165&lt;&gt;"",M165,IF(I165 = PARÂMETROS!$B$5,Q165, IF(I165 = PARÂMETROS!$B$6,R165,IF(I165 = PARÂMETROS!$B$7,S165,IF(I165 = PARÂMETROS!$B$8, T165,"DEFINIR CRITÉRIO"))))),"SEM PREÇO")</f>
        <v>SEM PREÇO</v>
      </c>
      <c r="K165" s="241">
        <f t="shared" si="74"/>
        <v>0</v>
      </c>
      <c r="L165" s="238" t="str">
        <f t="shared" si="75"/>
        <v/>
      </c>
      <c r="M165" s="247" t="e">
        <f>F165</f>
        <v>#REF!</v>
      </c>
      <c r="N165" s="164" t="s">
        <v>2077</v>
      </c>
      <c r="O165" s="165" t="s">
        <v>2077</v>
      </c>
      <c r="P165" s="235">
        <f t="shared" si="76"/>
        <v>0</v>
      </c>
      <c r="Q165" s="236">
        <f t="shared" si="77"/>
        <v>0</v>
      </c>
      <c r="R165" s="236">
        <f t="shared" si="78"/>
        <v>0</v>
      </c>
      <c r="S165" s="236">
        <f t="shared" si="79"/>
        <v>0</v>
      </c>
      <c r="T165" s="236">
        <f t="shared" si="80"/>
        <v>0</v>
      </c>
      <c r="U165" s="237" t="str">
        <f>IF(AA165 = "", "", IF(OR($H165 = PARÂMETROS!$E$5, $H165 = ""), AA165, IF(OR(AA165 &lt; (1-VLOOKUP($H165,PARÂMETROS!$E:$F,2,FALSE))*$P165, AA165 &gt; (1+VLOOKUP($H165,PARÂMETROS!$E:$F,2,FALSE))*$P165),"",AA165)))</f>
        <v/>
      </c>
      <c r="V165" s="237" t="str">
        <f>IF(AG165 = "", "", IF(OR($H165 = PARÂMETROS!$E$5, $H165 = ""), AG165, IF(OR(AG165 &lt; (1-VLOOKUP($H165,PARÂMETROS!$E:$F,2,FALSE))*$P170, AG165 &gt; (1+VLOOKUP($H165,PARÂMETROS!$E:$F,2,FALSE))*$P165),"",AG165)))</f>
        <v/>
      </c>
      <c r="W165" s="237" t="str">
        <f>IF(AM165 = "", "", IF(OR($H165 = PARÂMETROS!$E$5, $H165 = ""), AM165, IF(OR(AM165 &lt; (1-VLOOKUP($H165,PARÂMETROS!$E:$F,2,FALSE))*$P165, AM165 &gt; (1+VLOOKUP($H165,PARÂMETROS!$E:$F,2,FALSE))*$P165),"",AM165)))</f>
        <v/>
      </c>
      <c r="X165" s="237" t="str">
        <f>IF(AS165 = "", "", IF(OR($H165 = PARÂMETROS!$E$5, $H165 = ""), AS165, IF(OR(AS165 &lt; (1-VLOOKUP($H165,PARÂMETROS!$E:$F,2,FALSE))*$P165, AS165 &gt; (1+VLOOKUP($H165,PARÂMETROS!$E:$F,2,FALSE))*$P165),"",AS165)))</f>
        <v/>
      </c>
      <c r="Y165" s="237" t="str">
        <f>IF(AY165 = "", "", IF(OR($H165 = PARÂMETROS!$E$5, $H165 = ""), AY165, IF(OR(AY165 &lt; (1-VLOOKUP($H165,PARÂMETROS!$E:$F,2,FALSE))*$P165, AY165 &gt; (1+VLOOKUP($H165,PARÂMETROS!$E:$F,2,FALSE))*$P165),"",AY165)))</f>
        <v/>
      </c>
      <c r="Z165" s="237" t="str">
        <f>IF(BE165 = "", "", IF(OR($H165 = PARÂMETROS!$E$5, $H165 = ""), BE165, IF(OR(BE165 &lt; (1-VLOOKUP($H165,PARÂMETROS!$E:$F,2,FALSE))*$P165, BE165 &gt; (1+VLOOKUP($H165,PARÂMETROS!$E:$F,2,FALSE))*$P165),"",BE165)))</f>
        <v/>
      </c>
      <c r="AA165" s="207"/>
      <c r="AB165" s="208"/>
      <c r="AC165" s="206" t="str">
        <f>IF(AND(OR(AA165="",AA165=0),OR(AA165="",AB165=0)),"",IF(OR(AA165="",AA165=0),"DEFINIR PREÇO",IF(OR(AB165="",AB165=0),"DEFINIR FORNECEDOR",IF(OR(AA165&lt;&gt;"",AA165&lt;&gt;0),VLOOKUP(AB165,#REF!,2,FALSE)))))</f>
        <v/>
      </c>
      <c r="AD165" s="217"/>
      <c r="AE165" s="218"/>
      <c r="AF165" s="220" t="str">
        <f t="shared" ca="1" si="81"/>
        <v/>
      </c>
      <c r="AG165" s="229"/>
      <c r="AH165" s="231"/>
      <c r="AI165" s="206" t="str">
        <f>IF(AND(OR(AG165="",AG165=0),OR(AG165="",AH165=0)),"",IF(OR(AG165="",AG165=0),"DEFINIR PREÇO",IF(OR(AH165="",AH165=0),"DEFINIR FORNECEDOR",IF(OR(AG165&lt;&gt;"",AG165&lt;&gt;0),VLOOKUP(AH165,#REF!,2,FALSE)))))</f>
        <v/>
      </c>
      <c r="AJ165" s="217"/>
      <c r="AK165" s="218"/>
      <c r="AL165" s="220" t="str">
        <f t="shared" ca="1" si="82"/>
        <v/>
      </c>
      <c r="AM165" s="229"/>
      <c r="AN165" s="231"/>
      <c r="AO165" s="206" t="str">
        <f>IF(AND(OR(AM165="",AM165=0),OR(AM165="",AN165=0)),"",IF(OR(AM165="",AM165=0),"DEFINIR PREÇO",IF(OR(AN165="",AN165=0),"DEFINIR FORNECEDOR",IF(OR(AM165&lt;&gt;"",AM165&lt;&gt;0),VLOOKUP(AN165,#REF!,2,FALSE)))))</f>
        <v/>
      </c>
      <c r="AP165" s="217"/>
      <c r="AQ165" s="218"/>
      <c r="AR165" s="220" t="str">
        <f t="shared" ca="1" si="83"/>
        <v/>
      </c>
      <c r="AS165" s="229"/>
      <c r="AT165" s="231"/>
      <c r="AU165" s="194"/>
      <c r="AV165" s="217"/>
      <c r="AW165" s="218"/>
      <c r="AX165" s="220" t="str">
        <f t="shared" ca="1" si="84"/>
        <v/>
      </c>
      <c r="AY165" s="195"/>
      <c r="AZ165" s="196"/>
      <c r="BA165" s="209" t="str">
        <f>IF(AND(OR(AY165="",AY165=0),OR(AY165="",AZ165=0)),"",IF(OR(AY165="",AY165=0),"DEFINIR PREÇO",IF(OR(AZ165="",AZ165=0),"DEFINIR FORNECEDOR",IF(OR(AY165&lt;&gt;"",AY165&lt;&gt;0),VLOOKUP(AZ165,#REF!,2,FALSE)))))</f>
        <v/>
      </c>
      <c r="BB165" s="194"/>
      <c r="BC165" s="194"/>
      <c r="BD165" s="220" t="str">
        <f t="shared" ca="1" si="85"/>
        <v/>
      </c>
      <c r="BE165" s="195"/>
      <c r="BF165" s="196"/>
      <c r="BG165" s="194"/>
      <c r="BH165" s="194"/>
      <c r="BI165" s="194"/>
      <c r="BJ165" s="197"/>
    </row>
    <row r="166" spans="1:71" ht="30" x14ac:dyDescent="0.25">
      <c r="A166" s="44" t="s">
        <v>405</v>
      </c>
      <c r="B166" s="58" t="s">
        <v>164</v>
      </c>
      <c r="C166" s="45">
        <v>4</v>
      </c>
      <c r="D166" s="55" t="s">
        <v>1357</v>
      </c>
      <c r="E166" s="45" t="s">
        <v>20</v>
      </c>
      <c r="F166" s="46" t="str">
        <f>J166</f>
        <v>DEFINIR CRITÉRIO</v>
      </c>
      <c r="G166" s="47" t="str">
        <f>J166</f>
        <v>DEFINIR CRITÉRIO</v>
      </c>
      <c r="H166" s="240" t="s">
        <v>2000</v>
      </c>
      <c r="I166" s="240" t="s">
        <v>1999</v>
      </c>
      <c r="J166" s="242" t="str">
        <f>IFERROR(IF(N166&lt;&gt;"",M166,IF(I166 = PARÂMETROS!$B$5,Q166, IF(I166 = PARÂMETROS!$B$6,R166,IF(I166 = PARÂMETROS!$B$7,S166,IF(I166 = PARÂMETROS!$B$8, T166,"DEFINIR CRITÉRIO"))))),"SEM PREÇO")</f>
        <v>DEFINIR CRITÉRIO</v>
      </c>
      <c r="K166" s="241" t="str">
        <f t="shared" si="74"/>
        <v/>
      </c>
      <c r="L166" s="238" t="str">
        <f t="shared" si="75"/>
        <v/>
      </c>
      <c r="M166" s="163"/>
      <c r="N166" s="164"/>
      <c r="O166" s="165"/>
      <c r="P166" s="235">
        <f t="shared" si="76"/>
        <v>5.3500000000000005</v>
      </c>
      <c r="Q166" s="236">
        <f t="shared" si="77"/>
        <v>0</v>
      </c>
      <c r="R166" s="236">
        <f t="shared" si="78"/>
        <v>0</v>
      </c>
      <c r="S166" s="236">
        <f t="shared" si="79"/>
        <v>0</v>
      </c>
      <c r="T166" s="236">
        <f t="shared" si="80"/>
        <v>0</v>
      </c>
      <c r="U166" s="237" t="e">
        <f>IF(AA166 = "", "", IF(OR($H166 = PARÂMETROS!$E$5, $H166 = ""), AA166, IF(OR(AA166 &lt; (1-VLOOKUP($H166,PARÂMETROS!$E:$F,2,FALSE))*$P166, AA166 &gt; (1+VLOOKUP($H166,PARÂMETROS!$E:$F,2,FALSE))*$P166),"",AA166)))</f>
        <v>#N/A</v>
      </c>
      <c r="V166" s="237" t="e">
        <f>IF(AG166 = "", "", IF(OR($H166 = PARÂMETROS!$E$5, $H166 = ""), AG166, IF(OR(AG166 &lt; (1-VLOOKUP($H166,PARÂMETROS!$E:$F,2,FALSE))*$P171, AG166 &gt; (1+VLOOKUP($H166,PARÂMETROS!$E:$F,2,FALSE))*$P166),"",AG166)))</f>
        <v>#N/A</v>
      </c>
      <c r="W166" s="237" t="e">
        <f>IF(AM166 = "", "", IF(OR($H166 = PARÂMETROS!$E$5, $H166 = ""), AM166, IF(OR(AM166 &lt; (1-VLOOKUP($H166,PARÂMETROS!$E:$F,2,FALSE))*$P166, AM166 &gt; (1+VLOOKUP($H166,PARÂMETROS!$E:$F,2,FALSE))*$P166),"",AM166)))</f>
        <v>#N/A</v>
      </c>
      <c r="X166" s="237" t="str">
        <f>IF(AS166 = "", "", IF(OR($H166 = PARÂMETROS!$E$5, $H166 = ""), AS166, IF(OR(AS166 &lt; (1-VLOOKUP($H166,PARÂMETROS!$E:$F,2,FALSE))*$P166, AS166 &gt; (1+VLOOKUP($H166,PARÂMETROS!$E:$F,2,FALSE))*$P166),"",AS166)))</f>
        <v/>
      </c>
      <c r="Y166" s="237" t="str">
        <f>IF(AY166 = "", "", IF(OR($H166 = PARÂMETROS!$E$5, $H166 = ""), AY166, IF(OR(AY166 &lt; (1-VLOOKUP($H166,PARÂMETROS!$E:$F,2,FALSE))*$P166, AY166 &gt; (1+VLOOKUP($H166,PARÂMETROS!$E:$F,2,FALSE))*$P166),"",AY166)))</f>
        <v/>
      </c>
      <c r="Z166" s="237" t="str">
        <f>IF(BE166 = "", "", IF(OR($H166 = PARÂMETROS!$E$5, $H166 = ""), BE166, IF(OR(BE166 &lt; (1-VLOOKUP($H166,PARÂMETROS!$E:$F,2,FALSE))*$P166, BE166 &gt; (1+VLOOKUP($H166,PARÂMETROS!$E:$F,2,FALSE))*$P166),"",BE166)))</f>
        <v/>
      </c>
      <c r="AA166" s="207">
        <v>4.72</v>
      </c>
      <c r="AB166" s="208">
        <v>1070</v>
      </c>
      <c r="AC166" s="206" t="e">
        <f>IF(AND(OR(AA166="",AA166=0),OR(AA166="",AB166=0)),"",IF(OR(AA166="",AA166=0),"DEFINIR PREÇO",IF(OR(AB166="",AB166=0),"DEFINIR FORNECEDOR",IF(OR(AA166&lt;&gt;"",AA166&lt;&gt;0),VLOOKUP(AB166,#REF!,2,FALSE)))))</f>
        <v>#REF!</v>
      </c>
      <c r="AD166" s="217" t="s">
        <v>1977</v>
      </c>
      <c r="AE166" s="218">
        <v>44935</v>
      </c>
      <c r="AF166" s="220" t="str">
        <f t="shared" ca="1" si="81"/>
        <v>DESATUALIZADA</v>
      </c>
      <c r="AG166" s="229">
        <v>5.94</v>
      </c>
      <c r="AH166" s="231">
        <v>1674</v>
      </c>
      <c r="AI166" s="206" t="e">
        <f>IF(AND(OR(AG166="",AG166=0),OR(AG166="",AH166=0)),"",IF(OR(AG166="",AG166=0),"DEFINIR PREÇO",IF(OR(AH166="",AH166=0),"DEFINIR FORNECEDOR",IF(OR(AG166&lt;&gt;"",AG166&lt;&gt;0),VLOOKUP(AH166,#REF!,2,FALSE)))))</f>
        <v>#REF!</v>
      </c>
      <c r="AJ166" s="217" t="s">
        <v>1977</v>
      </c>
      <c r="AK166" s="218">
        <v>44935</v>
      </c>
      <c r="AL166" s="220" t="str">
        <f t="shared" ca="1" si="82"/>
        <v>DESATUALIZADA</v>
      </c>
      <c r="AM166" s="229">
        <v>5.39</v>
      </c>
      <c r="AN166" s="231">
        <v>657</v>
      </c>
      <c r="AO166" s="206" t="e">
        <f>IF(AND(OR(AM166="",AM166=0),OR(AM166="",AN166=0)),"",IF(OR(AM166="",AM166=0),"DEFINIR PREÇO",IF(OR(AN166="",AN166=0),"DEFINIR FORNECEDOR",IF(OR(AM166&lt;&gt;"",AM166&lt;&gt;0),VLOOKUP(AN166,#REF!,2,FALSE)))))</f>
        <v>#REF!</v>
      </c>
      <c r="AP166" s="217" t="s">
        <v>1977</v>
      </c>
      <c r="AQ166" s="218">
        <v>44935</v>
      </c>
      <c r="AR166" s="220" t="str">
        <f t="shared" ca="1" si="83"/>
        <v>DESATUALIZADA</v>
      </c>
      <c r="AS166" s="229"/>
      <c r="AT166" s="231"/>
      <c r="AU166" s="194" t="str">
        <f>IF(AND(OR(AS166="",AS166=0),OR(AS166="",AT166=0)),"",IF(OR(AS166="",AS166=0),"DEFINIR PREÇO",IF(OR(AT166="",AT166=0),"DEFINIR FORNECEDOR",IF(OR(AS166&lt;&gt;"",AS166&lt;&gt;0),VLOOKUP(AT166,#REF!,2,FALSE)))))</f>
        <v/>
      </c>
      <c r="AV166" s="217"/>
      <c r="AW166" s="218"/>
      <c r="AX166" s="220" t="str">
        <f t="shared" ca="1" si="84"/>
        <v/>
      </c>
      <c r="AY166" s="195"/>
      <c r="AZ166" s="196"/>
      <c r="BA166" s="209" t="str">
        <f>IF(AND(OR(AY166="",AY166=0),OR(AY166="",AZ166=0)),"",IF(OR(AY166="",AY166=0),"DEFINIR PREÇO",IF(OR(AZ166="",AZ166=0),"DEFINIR FORNECEDOR",IF(OR(AY166&lt;&gt;"",AY166&lt;&gt;0),VLOOKUP(AZ166,#REF!,2,FALSE)))))</f>
        <v/>
      </c>
      <c r="BB166" s="194"/>
      <c r="BC166" s="194"/>
      <c r="BD166" s="220" t="str">
        <f t="shared" ca="1" si="85"/>
        <v/>
      </c>
      <c r="BE166" s="195"/>
      <c r="BF166" s="196"/>
      <c r="BG166" s="194"/>
      <c r="BH166" s="194"/>
      <c r="BI166" s="194"/>
      <c r="BJ166" s="197"/>
    </row>
    <row r="167" spans="1:71" ht="47.25" customHeight="1" x14ac:dyDescent="0.25">
      <c r="A167" s="44" t="s">
        <v>405</v>
      </c>
      <c r="B167" s="58" t="s">
        <v>2030</v>
      </c>
      <c r="C167" s="45">
        <v>5</v>
      </c>
      <c r="D167" s="55" t="s">
        <v>2027</v>
      </c>
      <c r="E167" s="45" t="s">
        <v>2028</v>
      </c>
      <c r="F167" s="46" t="str">
        <f>J167</f>
        <v>SEM PREÇO</v>
      </c>
      <c r="G167" s="47" t="str">
        <f>J167</f>
        <v>SEM PREÇO</v>
      </c>
      <c r="H167" s="240" t="s">
        <v>2000</v>
      </c>
      <c r="I167" s="240" t="s">
        <v>2001</v>
      </c>
      <c r="J167" s="242" t="str">
        <f>IFERROR(IF(N167&lt;&gt;"",M167,IF(I167 = PARÂMETROS!$B$5,Q167, IF(I167 = PARÂMETROS!$B$6,R167,IF(I167 = PARÂMETROS!$B$7,S167,IF(I167 = PARÂMETROS!$B$8, T167,"DEFINIR CRITÉRIO"))))),"SEM PREÇO")</f>
        <v>SEM PREÇO</v>
      </c>
      <c r="K167" s="241">
        <f t="shared" si="74"/>
        <v>0</v>
      </c>
      <c r="L167" s="238" t="str">
        <f t="shared" si="75"/>
        <v/>
      </c>
      <c r="M167" s="247" t="e">
        <f>VLOOKUP(N167,#REF!,4,FALSE)</f>
        <v>#REF!</v>
      </c>
      <c r="N167" s="164" t="s">
        <v>2029</v>
      </c>
      <c r="O167" s="165" t="s">
        <v>2026</v>
      </c>
      <c r="P167" s="235">
        <f t="shared" si="76"/>
        <v>0</v>
      </c>
      <c r="Q167" s="236">
        <f t="shared" si="77"/>
        <v>0</v>
      </c>
      <c r="R167" s="236">
        <f t="shared" si="78"/>
        <v>0</v>
      </c>
      <c r="S167" s="236">
        <f t="shared" si="79"/>
        <v>0</v>
      </c>
      <c r="T167" s="236">
        <f t="shared" si="80"/>
        <v>0</v>
      </c>
      <c r="U167" s="237" t="str">
        <f>IF(AA167 = "", "", IF(OR($H167 = PARÂMETROS!$E$5, $H167 = ""), AA167, IF(OR(AA167 &lt; (1-VLOOKUP($H167,PARÂMETROS!$E:$F,2,FALSE))*$P167, AA167 &gt; (1+VLOOKUP($H167,PARÂMETROS!$E:$F,2,FALSE))*$P167),"",AA167)))</f>
        <v/>
      </c>
      <c r="V167" s="237" t="str">
        <f>IF(AG167 = "", "", IF(OR($H167 = PARÂMETROS!$E$5, $H167 = ""), AG167, IF(OR(AG167 &lt; (1-VLOOKUP($H167,PARÂMETROS!$E:$F,2,FALSE))*$P172, AG167 &gt; (1+VLOOKUP($H167,PARÂMETROS!$E:$F,2,FALSE))*$P167),"",AG167)))</f>
        <v/>
      </c>
      <c r="W167" s="237" t="str">
        <f>IF(AM167 = "", "", IF(OR($H167 = PARÂMETROS!$E$5, $H167 = ""), AM167, IF(OR(AM167 &lt; (1-VLOOKUP($H167,PARÂMETROS!$E:$F,2,FALSE))*$P167, AM167 &gt; (1+VLOOKUP($H167,PARÂMETROS!$E:$F,2,FALSE))*$P167),"",AM167)))</f>
        <v/>
      </c>
      <c r="X167" s="237" t="str">
        <f>IF(AS167 = "", "", IF(OR($H167 = PARÂMETROS!$E$5, $H167 = ""), AS167, IF(OR(AS167 &lt; (1-VLOOKUP($H167,PARÂMETROS!$E:$F,2,FALSE))*$P167, AS167 &gt; (1+VLOOKUP($H167,PARÂMETROS!$E:$F,2,FALSE))*$P167),"",AS167)))</f>
        <v/>
      </c>
      <c r="Y167" s="237" t="str">
        <f>IF(AY167 = "", "", IF(OR($H167 = PARÂMETROS!$E$5, $H167 = ""), AY167, IF(OR(AY167 &lt; (1-VLOOKUP($H167,PARÂMETROS!$E:$F,2,FALSE))*$P167, AY167 &gt; (1+VLOOKUP($H167,PARÂMETROS!$E:$F,2,FALSE))*$P167),"",AY167)))</f>
        <v/>
      </c>
      <c r="Z167" s="237" t="str">
        <f>IF(BE167 = "", "", IF(OR($H167 = PARÂMETROS!$E$5, $H167 = ""), BE167, IF(OR(BE167 &lt; (1-VLOOKUP($H167,PARÂMETROS!$E:$F,2,FALSE))*$P167, BE167 &gt; (1+VLOOKUP($H167,PARÂMETROS!$E:$F,2,FALSE))*$P167),"",BE167)))</f>
        <v/>
      </c>
      <c r="AA167" s="49"/>
      <c r="AB167" s="50"/>
      <c r="AC167" s="56"/>
      <c r="AD167" s="246"/>
      <c r="AE167" s="218"/>
      <c r="AF167" s="220"/>
      <c r="AG167" s="229"/>
      <c r="AH167" s="231"/>
      <c r="AI167" s="206"/>
      <c r="AJ167" s="217"/>
      <c r="AK167" s="218"/>
      <c r="AL167" s="220"/>
      <c r="AM167" s="229"/>
      <c r="AN167" s="231"/>
      <c r="AO167" s="206"/>
      <c r="AP167" s="217"/>
      <c r="AQ167" s="218"/>
      <c r="AR167" s="220"/>
      <c r="AS167" s="229"/>
      <c r="AT167" s="231"/>
      <c r="AU167" s="194"/>
      <c r="AV167" s="217"/>
      <c r="AW167" s="218"/>
      <c r="AX167" s="220"/>
      <c r="AY167" s="195"/>
      <c r="AZ167" s="196"/>
      <c r="BA167" s="209"/>
      <c r="BB167" s="194"/>
      <c r="BC167" s="194"/>
      <c r="BD167" s="220"/>
      <c r="BE167" s="195"/>
      <c r="BF167" s="196"/>
      <c r="BG167" s="194"/>
      <c r="BH167" s="194"/>
      <c r="BI167" s="194"/>
      <c r="BJ167" s="197"/>
    </row>
    <row r="168" spans="1:71" ht="28.5" customHeight="1" x14ac:dyDescent="0.25">
      <c r="A168" s="44" t="s">
        <v>405</v>
      </c>
      <c r="B168" s="58" t="s">
        <v>385</v>
      </c>
      <c r="C168" s="45">
        <v>5</v>
      </c>
      <c r="D168" s="178" t="s">
        <v>375</v>
      </c>
      <c r="E168" s="45" t="s">
        <v>20</v>
      </c>
      <c r="F168" s="46" t="str">
        <f>J168</f>
        <v>DEFINIR CRITÉRIO</v>
      </c>
      <c r="G168" s="47" t="str">
        <f>J168</f>
        <v>DEFINIR CRITÉRIO</v>
      </c>
      <c r="H168" s="240" t="s">
        <v>2000</v>
      </c>
      <c r="I168" s="240" t="s">
        <v>2001</v>
      </c>
      <c r="J168" s="242" t="str">
        <f>IFERROR(IF(N168&lt;&gt;"",M168,IF(I168 = PARÂMETROS!$B$5,Q168, IF(I168 = PARÂMETROS!$B$6,R168,IF(I168 = PARÂMETROS!$B$7,S168,IF(I168 = PARÂMETROS!$B$8, T168,"DEFINIR CRITÉRIO"))))),"SEM PREÇO")</f>
        <v>DEFINIR CRITÉRIO</v>
      </c>
      <c r="K168" s="241" t="str">
        <f t="shared" si="74"/>
        <v/>
      </c>
      <c r="L168" s="238" t="str">
        <f t="shared" si="75"/>
        <v/>
      </c>
      <c r="M168" s="163"/>
      <c r="N168" s="164"/>
      <c r="O168" s="165"/>
      <c r="P168" s="235">
        <f t="shared" si="76"/>
        <v>1040.9258426966292</v>
      </c>
      <c r="Q168" s="236">
        <f t="shared" si="77"/>
        <v>0</v>
      </c>
      <c r="R168" s="236">
        <f t="shared" si="78"/>
        <v>0</v>
      </c>
      <c r="S168" s="236">
        <f t="shared" si="79"/>
        <v>0</v>
      </c>
      <c r="T168" s="236">
        <f t="shared" si="80"/>
        <v>0</v>
      </c>
      <c r="U168" s="237" t="e">
        <f>IF(AA168 = "", "", IF(OR($H168 = PARÂMETROS!$E$5, $H168 = ""), AA168, IF(OR(AA168 &lt; (1-VLOOKUP($H168,PARÂMETROS!$E:$F,2,FALSE))*$P168, AA168 &gt; (1+VLOOKUP($H168,PARÂMETROS!$E:$F,2,FALSE))*$P168),"",AA168)))</f>
        <v>#N/A</v>
      </c>
      <c r="V168" s="237" t="str">
        <f>IF(AG168 = "", "", IF(OR($H168 = PARÂMETROS!$E$5, $H168 = ""), AG168, IF(OR(AG168 &lt; (1-VLOOKUP($H168,PARÂMETROS!$E:$F,2,FALSE))*$P173, AG168 &gt; (1+VLOOKUP($H168,PARÂMETROS!$E:$F,2,FALSE))*$P168),"",AG168)))</f>
        <v/>
      </c>
      <c r="W168" s="237" t="str">
        <f>IF(AM168 = "", "", IF(OR($H168 = PARÂMETROS!$E$5, $H168 = ""), AM168, IF(OR(AM168 &lt; (1-VLOOKUP($H168,PARÂMETROS!$E:$F,2,FALSE))*$P168, AM168 &gt; (1+VLOOKUP($H168,PARÂMETROS!$E:$F,2,FALSE))*$P168),"",AM168)))</f>
        <v/>
      </c>
      <c r="X168" s="237" t="str">
        <f>IF(AS168 = "", "", IF(OR($H168 = PARÂMETROS!$E$5, $H168 = ""), AS168, IF(OR(AS168 &lt; (1-VLOOKUP($H168,PARÂMETROS!$E:$F,2,FALSE))*$P168, AS168 &gt; (1+VLOOKUP($H168,PARÂMETROS!$E:$F,2,FALSE))*$P168),"",AS168)))</f>
        <v/>
      </c>
      <c r="Y168" s="237" t="str">
        <f>IF(AY168 = "", "", IF(OR($H168 = PARÂMETROS!$E$5, $H168 = ""), AY168, IF(OR(AY168 &lt; (1-VLOOKUP($H168,PARÂMETROS!$E:$F,2,FALSE))*$P168, AY168 &gt; (1+VLOOKUP($H168,PARÂMETROS!$E:$F,2,FALSE))*$P168),"",AY168)))</f>
        <v/>
      </c>
      <c r="Z168" s="237" t="str">
        <f>IF(BE168 = "", "", IF(OR($H168 = PARÂMETROS!$E$5, $H168 = ""), BE168, IF(OR(BE168 &lt; (1-VLOOKUP($H168,PARÂMETROS!$E:$F,2,FALSE))*$P168, BE168 &gt; (1+VLOOKUP($H168,PARÂMETROS!$E:$F,2,FALSE))*$P168),"",BE168)))</f>
        <v/>
      </c>
      <c r="AA168" s="207">
        <v>1040.9258426966292</v>
      </c>
      <c r="AB168" s="208">
        <v>2173</v>
      </c>
      <c r="AC168" s="206" t="e">
        <f>IF(AND(OR(AA168="",AA168=0),OR(AA168="",AB168=0)),"",IF(OR(AA168="",AA168=0),"DEFINIR PREÇO",IF(OR(AB168="",AB168=0),"DEFINIR FORNECEDOR",IF(OR(AA168&lt;&gt;"",AA168&lt;&gt;0),VLOOKUP(AB168,#REF!,2,FALSE)))))</f>
        <v>#REF!</v>
      </c>
      <c r="AD168" s="217" t="s">
        <v>1985</v>
      </c>
      <c r="AE168" s="218">
        <v>44923</v>
      </c>
      <c r="AF168" s="220" t="str">
        <f t="shared" ca="1" si="81"/>
        <v>DESATUALIZADA</v>
      </c>
      <c r="AG168" s="229"/>
      <c r="AH168" s="231"/>
      <c r="AI168" s="206" t="str">
        <f>IF(AND(OR(AG168="",AG168=0),OR(AG168="",AH168=0)),"",IF(OR(AG168="",AG168=0),"DEFINIR PREÇO",IF(OR(AH168="",AH168=0),"DEFINIR FORNECEDOR",IF(OR(AG168&lt;&gt;"",AG168&lt;&gt;0),VLOOKUP(AH168,#REF!,2,FALSE)))))</f>
        <v/>
      </c>
      <c r="AJ168" s="217"/>
      <c r="AK168" s="218"/>
      <c r="AL168" s="220" t="str">
        <f t="shared" ca="1" si="82"/>
        <v/>
      </c>
      <c r="AM168" s="229"/>
      <c r="AN168" s="231"/>
      <c r="AO168" s="206" t="str">
        <f>IF(AND(OR(AM168="",AM168=0),OR(AM168="",AN168=0)),"",IF(OR(AM168="",AM168=0),"DEFINIR PREÇO",IF(OR(AN168="",AN168=0),"DEFINIR FORNECEDOR",IF(OR(AM168&lt;&gt;"",AM168&lt;&gt;0),VLOOKUP(AN168,#REF!,2,FALSE)))))</f>
        <v/>
      </c>
      <c r="AP168" s="217"/>
      <c r="AQ168" s="218"/>
      <c r="AR168" s="220" t="str">
        <f t="shared" ca="1" si="83"/>
        <v/>
      </c>
      <c r="AS168" s="229"/>
      <c r="AT168" s="231"/>
      <c r="AU168" s="194"/>
      <c r="AV168" s="217"/>
      <c r="AW168" s="218"/>
      <c r="AX168" s="220" t="str">
        <f t="shared" ca="1" si="84"/>
        <v/>
      </c>
      <c r="AY168" s="195"/>
      <c r="AZ168" s="196"/>
      <c r="BA168" s="209" t="str">
        <f>IF(AND(OR(AY168="",AY168=0),OR(AY168="",AZ168=0)),"",IF(OR(AY168="",AY168=0),"DEFINIR PREÇO",IF(OR(AZ168="",AZ168=0),"DEFINIR FORNECEDOR",IF(OR(AY168&lt;&gt;"",AY168&lt;&gt;0),VLOOKUP(AZ168,#REF!,2,FALSE)))))</f>
        <v/>
      </c>
      <c r="BB168" s="194"/>
      <c r="BC168" s="194"/>
      <c r="BD168" s="220" t="str">
        <f t="shared" ca="1" si="85"/>
        <v/>
      </c>
      <c r="BE168" s="195"/>
      <c r="BF168" s="196"/>
      <c r="BG168" s="194"/>
      <c r="BH168" s="194"/>
      <c r="BI168" s="194"/>
      <c r="BJ168" s="197"/>
    </row>
    <row r="169" spans="1:71" ht="30" x14ac:dyDescent="0.25">
      <c r="A169" s="44" t="s">
        <v>405</v>
      </c>
      <c r="B169" s="58" t="s">
        <v>386</v>
      </c>
      <c r="C169" s="45">
        <v>4</v>
      </c>
      <c r="D169" s="178" t="s">
        <v>377</v>
      </c>
      <c r="E169" s="45" t="s">
        <v>20</v>
      </c>
      <c r="F169" s="46" t="str">
        <f>J169</f>
        <v>DEFINIR CRITÉRIO</v>
      </c>
      <c r="G169" s="47" t="str">
        <f>J169</f>
        <v>DEFINIR CRITÉRIO</v>
      </c>
      <c r="H169" s="240" t="s">
        <v>2000</v>
      </c>
      <c r="I169" s="240" t="s">
        <v>2001</v>
      </c>
      <c r="J169" s="242" t="str">
        <f>IFERROR(IF(N169&lt;&gt;"",M169,IF(I169 = PARÂMETROS!$B$5,Q169, IF(I169 = PARÂMETROS!$B$6,R169,IF(I169 = PARÂMETROS!$B$7,S169,IF(I169 = PARÂMETROS!$B$8, T169,"DEFINIR CRITÉRIO"))))),"SEM PREÇO")</f>
        <v>DEFINIR CRITÉRIO</v>
      </c>
      <c r="K169" s="241" t="str">
        <f t="shared" si="74"/>
        <v/>
      </c>
      <c r="L169" s="238" t="str">
        <f t="shared" si="75"/>
        <v/>
      </c>
      <c r="M169" s="163"/>
      <c r="N169" s="164"/>
      <c r="O169" s="165"/>
      <c r="P169" s="235">
        <f t="shared" si="76"/>
        <v>493.36363636363637</v>
      </c>
      <c r="Q169" s="236">
        <f t="shared" si="77"/>
        <v>0</v>
      </c>
      <c r="R169" s="236">
        <f t="shared" si="78"/>
        <v>0</v>
      </c>
      <c r="S169" s="236">
        <f t="shared" si="79"/>
        <v>0</v>
      </c>
      <c r="T169" s="236">
        <f t="shared" si="80"/>
        <v>0</v>
      </c>
      <c r="U169" s="237" t="e">
        <f>IF(AA169 = "", "", IF(OR($H169 = PARÂMETROS!$E$5, $H169 = ""), AA169, IF(OR(AA169 &lt; (1-VLOOKUP($H169,PARÂMETROS!$E:$F,2,FALSE))*$P169, AA169 &gt; (1+VLOOKUP($H169,PARÂMETROS!$E:$F,2,FALSE))*$P169),"",AA169)))</f>
        <v>#N/A</v>
      </c>
      <c r="V169" s="237" t="str">
        <f>IF(AG169 = "", "", IF(OR($H169 = PARÂMETROS!$E$5, $H169 = ""), AG169, IF(OR(AG169 &lt; (1-VLOOKUP($H169,PARÂMETROS!$E:$F,2,FALSE))*$P174, AG169 &gt; (1+VLOOKUP($H169,PARÂMETROS!$E:$F,2,FALSE))*$P169),"",AG169)))</f>
        <v/>
      </c>
      <c r="W169" s="237" t="str">
        <f>IF(AM169 = "", "", IF(OR($H169 = PARÂMETROS!$E$5, $H169 = ""), AM169, IF(OR(AM169 &lt; (1-VLOOKUP($H169,PARÂMETROS!$E:$F,2,FALSE))*$P169, AM169 &gt; (1+VLOOKUP($H169,PARÂMETROS!$E:$F,2,FALSE))*$P169),"",AM169)))</f>
        <v/>
      </c>
      <c r="X169" s="237" t="str">
        <f>IF(AS169 = "", "", IF(OR($H169 = PARÂMETROS!$E$5, $H169 = ""), AS169, IF(OR(AS169 &lt; (1-VLOOKUP($H169,PARÂMETROS!$E:$F,2,FALSE))*$P169, AS169 &gt; (1+VLOOKUP($H169,PARÂMETROS!$E:$F,2,FALSE))*$P169),"",AS169)))</f>
        <v/>
      </c>
      <c r="Y169" s="237" t="str">
        <f>IF(AY169 = "", "", IF(OR($H169 = PARÂMETROS!$E$5, $H169 = ""), AY169, IF(OR(AY169 &lt; (1-VLOOKUP($H169,PARÂMETROS!$E:$F,2,FALSE))*$P169, AY169 &gt; (1+VLOOKUP($H169,PARÂMETROS!$E:$F,2,FALSE))*$P169),"",AY169)))</f>
        <v/>
      </c>
      <c r="Z169" s="237" t="str">
        <f>IF(BE169 = "", "", IF(OR($H169 = PARÂMETROS!$E$5, $H169 = ""), BE169, IF(OR(BE169 &lt; (1-VLOOKUP($H169,PARÂMETROS!$E:$F,2,FALSE))*$P169, BE169 &gt; (1+VLOOKUP($H169,PARÂMETROS!$E:$F,2,FALSE))*$P169),"",BE169)))</f>
        <v/>
      </c>
      <c r="AA169" s="207">
        <v>493.36363636363637</v>
      </c>
      <c r="AB169" s="208">
        <v>2173</v>
      </c>
      <c r="AC169" s="206" t="e">
        <f>IF(AND(OR(AA169="",AA169=0),OR(AA169="",AB169=0)),"",IF(OR(AA169="",AA169=0),"DEFINIR PREÇO",IF(OR(AB169="",AB169=0),"DEFINIR FORNECEDOR",IF(OR(AA169&lt;&gt;"",AA169&lt;&gt;0),VLOOKUP(AB169,#REF!,2,FALSE)))))</f>
        <v>#REF!</v>
      </c>
      <c r="AD169" s="217" t="s">
        <v>1985</v>
      </c>
      <c r="AE169" s="218">
        <v>44923</v>
      </c>
      <c r="AF169" s="220" t="str">
        <f t="shared" ca="1" si="81"/>
        <v>DESATUALIZADA</v>
      </c>
      <c r="AG169" s="229"/>
      <c r="AH169" s="231"/>
      <c r="AI169" s="206" t="str">
        <f>IF(AND(OR(AG169="",AG169=0),OR(AG169="",AH169=0)),"",IF(OR(AG169="",AG169=0),"DEFINIR PREÇO",IF(OR(AH169="",AH169=0),"DEFINIR FORNECEDOR",IF(OR(AG169&lt;&gt;"",AG169&lt;&gt;0),VLOOKUP(AH169,#REF!,2,FALSE)))))</f>
        <v/>
      </c>
      <c r="AJ169" s="217"/>
      <c r="AK169" s="218"/>
      <c r="AL169" s="220" t="str">
        <f t="shared" ca="1" si="82"/>
        <v/>
      </c>
      <c r="AM169" s="229"/>
      <c r="AN169" s="231"/>
      <c r="AO169" s="206" t="str">
        <f>IF(AND(OR(AM169="",AM169=0),OR(AM169="",AN169=0)),"",IF(OR(AM169="",AM169=0),"DEFINIR PREÇO",IF(OR(AN169="",AN169=0),"DEFINIR FORNECEDOR",IF(OR(AM169&lt;&gt;"",AM169&lt;&gt;0),VLOOKUP(AN169,#REF!,2,FALSE)))))</f>
        <v/>
      </c>
      <c r="AP169" s="217"/>
      <c r="AQ169" s="218"/>
      <c r="AR169" s="220" t="str">
        <f t="shared" ca="1" si="83"/>
        <v/>
      </c>
      <c r="AS169" s="229"/>
      <c r="AT169" s="231"/>
      <c r="AU169" s="194"/>
      <c r="AV169" s="217"/>
      <c r="AW169" s="218"/>
      <c r="AX169" s="220" t="str">
        <f t="shared" ca="1" si="84"/>
        <v/>
      </c>
      <c r="AY169" s="195"/>
      <c r="AZ169" s="196"/>
      <c r="BA169" s="209" t="str">
        <f>IF(AND(OR(AY169="",AY169=0),OR(AY169="",AZ169=0)),"",IF(OR(AY169="",AY169=0),"DEFINIR PREÇO",IF(OR(AZ169="",AZ169=0),"DEFINIR FORNECEDOR",IF(OR(AY169&lt;&gt;"",AY169&lt;&gt;0),VLOOKUP(AZ169,#REF!,2,FALSE)))))</f>
        <v/>
      </c>
      <c r="BB169" s="194"/>
      <c r="BC169" s="194"/>
      <c r="BD169" s="220" t="str">
        <f t="shared" ca="1" si="85"/>
        <v/>
      </c>
      <c r="BE169" s="195"/>
      <c r="BF169" s="196"/>
      <c r="BG169" s="194"/>
      <c r="BH169" s="194"/>
      <c r="BI169" s="194"/>
      <c r="BJ169" s="197"/>
    </row>
    <row r="170" spans="1:71" ht="30" x14ac:dyDescent="0.25">
      <c r="A170" s="44" t="s">
        <v>405</v>
      </c>
      <c r="B170" s="58" t="s">
        <v>84</v>
      </c>
      <c r="C170" s="45">
        <v>4</v>
      </c>
      <c r="D170" s="55" t="s">
        <v>82</v>
      </c>
      <c r="E170" s="45" t="s">
        <v>34</v>
      </c>
      <c r="F170" s="46">
        <v>3.76</v>
      </c>
      <c r="G170" s="47">
        <v>3.76</v>
      </c>
      <c r="H170" s="240" t="s">
        <v>2000</v>
      </c>
      <c r="I170" s="240" t="s">
        <v>2001</v>
      </c>
      <c r="J170" s="242" t="str">
        <f>IFERROR(IF(N170&lt;&gt;"",M170,IF(I170 = PARÂMETROS!$B$5,Q170, IF(I170 = PARÂMETROS!$B$6,R170,IF(I170 = PARÂMETROS!$B$7,S170,IF(I170 = PARÂMETROS!$B$8, T170,"DEFINIR CRITÉRIO"))))),"SEM PREÇO")</f>
        <v>DEFINIR CRITÉRIO</v>
      </c>
      <c r="K170" s="241" t="str">
        <f t="shared" si="74"/>
        <v/>
      </c>
      <c r="L170" s="238" t="str">
        <f t="shared" si="75"/>
        <v/>
      </c>
      <c r="M170" s="163"/>
      <c r="N170" s="164"/>
      <c r="O170" s="165"/>
      <c r="P170" s="235">
        <f t="shared" si="76"/>
        <v>0</v>
      </c>
      <c r="Q170" s="236">
        <f t="shared" si="77"/>
        <v>0</v>
      </c>
      <c r="R170" s="236">
        <f t="shared" si="78"/>
        <v>0</v>
      </c>
      <c r="S170" s="236">
        <f t="shared" si="79"/>
        <v>0</v>
      </c>
      <c r="T170" s="236">
        <f t="shared" si="80"/>
        <v>0</v>
      </c>
      <c r="U170" s="237" t="str">
        <f>IF(AA170 = "", "", IF(OR($H170 = PARÂMETROS!$E$5, $H170 = ""), AA170, IF(OR(AA170 &lt; (1-VLOOKUP($H170,PARÂMETROS!$E:$F,2,FALSE))*$P170, AA170 &gt; (1+VLOOKUP($H170,PARÂMETROS!$E:$F,2,FALSE))*$P170),"",AA170)))</f>
        <v/>
      </c>
      <c r="V170" s="237" t="str">
        <f>IF(AG170 = "", "", IF(OR($H170 = PARÂMETROS!$E$5, $H170 = ""), AG170, IF(OR(AG170 &lt; (1-VLOOKUP($H170,PARÂMETROS!$E:$F,2,FALSE))*$P175, AG170 &gt; (1+VLOOKUP($H170,PARÂMETROS!$E:$F,2,FALSE))*$P170),"",AG170)))</f>
        <v/>
      </c>
      <c r="W170" s="237" t="str">
        <f>IF(AM170 = "", "", IF(OR($H170 = PARÂMETROS!$E$5, $H170 = ""), AM170, IF(OR(AM170 &lt; (1-VLOOKUP($H170,PARÂMETROS!$E:$F,2,FALSE))*$P170, AM170 &gt; (1+VLOOKUP($H170,PARÂMETROS!$E:$F,2,FALSE))*$P170),"",AM170)))</f>
        <v/>
      </c>
      <c r="X170" s="237" t="str">
        <f>IF(AS170 = "", "", IF(OR($H170 = PARÂMETROS!$E$5, $H170 = ""), AS170, IF(OR(AS170 &lt; (1-VLOOKUP($H170,PARÂMETROS!$E:$F,2,FALSE))*$P170, AS170 &gt; (1+VLOOKUP($H170,PARÂMETROS!$E:$F,2,FALSE))*$P170),"",AS170)))</f>
        <v/>
      </c>
      <c r="Y170" s="237" t="str">
        <f>IF(AY170 = "", "", IF(OR($H170 = PARÂMETROS!$E$5, $H170 = ""), AY170, IF(OR(AY170 &lt; (1-VLOOKUP($H170,PARÂMETROS!$E:$F,2,FALSE))*$P170, AY170 &gt; (1+VLOOKUP($H170,PARÂMETROS!$E:$F,2,FALSE))*$P170),"",AY170)))</f>
        <v/>
      </c>
      <c r="Z170" s="237" t="str">
        <f>IF(BE170 = "", "", IF(OR($H170 = PARÂMETROS!$E$5, $H170 = ""), BE170, IF(OR(BE170 &lt; (1-VLOOKUP($H170,PARÂMETROS!$E:$F,2,FALSE))*$P170, BE170 &gt; (1+VLOOKUP($H170,PARÂMETROS!$E:$F,2,FALSE))*$P170),"",BE170)))</f>
        <v/>
      </c>
      <c r="AA170" s="207"/>
      <c r="AB170" s="208"/>
      <c r="AC170" s="206" t="str">
        <f>IF(AND(OR(AA170="",AA170=0),OR(AA170="",AB170=0)),"",IF(OR(AA170="",AA170=0),"DEFINIR PREÇO",IF(OR(AB170="",AB170=0),"DEFINIR FORNECEDOR",IF(OR(AA170&lt;&gt;"",AA170&lt;&gt;0),VLOOKUP(AB170,#REF!,2,FALSE)))))</f>
        <v/>
      </c>
      <c r="AD170" s="217"/>
      <c r="AE170" s="218"/>
      <c r="AF170" s="220" t="str">
        <f t="shared" ca="1" si="81"/>
        <v/>
      </c>
      <c r="AG170" s="229"/>
      <c r="AH170" s="231"/>
      <c r="AI170" s="206" t="str">
        <f>IF(AND(OR(AG170="",AG170=0),OR(AG170="",AH170=0)),"",IF(OR(AG170="",AG170=0),"DEFINIR PREÇO",IF(OR(AH170="",AH170=0),"DEFINIR FORNECEDOR",IF(OR(AG170&lt;&gt;"",AG170&lt;&gt;0),VLOOKUP(AH170,#REF!,2,FALSE)))))</f>
        <v/>
      </c>
      <c r="AJ170" s="217"/>
      <c r="AK170" s="218"/>
      <c r="AL170" s="220" t="str">
        <f t="shared" ca="1" si="82"/>
        <v/>
      </c>
      <c r="AM170" s="229"/>
      <c r="AN170" s="231"/>
      <c r="AO170" s="206" t="str">
        <f>IF(AND(OR(AM170="",AM170=0),OR(AM170="",AN170=0)),"",IF(OR(AM170="",AM170=0),"DEFINIR PREÇO",IF(OR(AN170="",AN170=0),"DEFINIR FORNECEDOR",IF(OR(AM170&lt;&gt;"",AM170&lt;&gt;0),VLOOKUP(AN170,#REF!,2,FALSE)))))</f>
        <v/>
      </c>
      <c r="AP170" s="217"/>
      <c r="AQ170" s="218"/>
      <c r="AR170" s="220" t="str">
        <f t="shared" ca="1" si="83"/>
        <v/>
      </c>
      <c r="AS170" s="229"/>
      <c r="AT170" s="231"/>
      <c r="AU170" s="194"/>
      <c r="AV170" s="217"/>
      <c r="AW170" s="218"/>
      <c r="AX170" s="220" t="str">
        <f t="shared" ca="1" si="84"/>
        <v/>
      </c>
      <c r="AY170" s="195"/>
      <c r="AZ170" s="196"/>
      <c r="BA170" s="209" t="str">
        <f>IF(AND(OR(AY170="",AY170=0),OR(AY170="",AZ170=0)),"",IF(OR(AY170="",AY170=0),"DEFINIR PREÇO",IF(OR(AZ170="",AZ170=0),"DEFINIR FORNECEDOR",IF(OR(AY170&lt;&gt;"",AY170&lt;&gt;0),VLOOKUP(AZ170,#REF!,2,FALSE)))))</f>
        <v/>
      </c>
      <c r="BB170" s="194"/>
      <c r="BC170" s="194"/>
      <c r="BD170" s="220" t="str">
        <f t="shared" ca="1" si="85"/>
        <v/>
      </c>
      <c r="BE170" s="195"/>
      <c r="BF170" s="196"/>
      <c r="BG170" s="194"/>
      <c r="BH170" s="194"/>
      <c r="BI170" s="194"/>
      <c r="BJ170" s="197"/>
    </row>
    <row r="171" spans="1:71" ht="30" x14ac:dyDescent="0.25">
      <c r="A171" s="44" t="s">
        <v>405</v>
      </c>
      <c r="B171" s="45" t="s">
        <v>389</v>
      </c>
      <c r="C171" s="45">
        <v>5</v>
      </c>
      <c r="D171" s="55" t="s">
        <v>380</v>
      </c>
      <c r="E171" s="45" t="s">
        <v>23</v>
      </c>
      <c r="F171" s="46" t="str">
        <f>J171</f>
        <v>DEFINIR CRITÉRIO</v>
      </c>
      <c r="G171" s="47" t="str">
        <f>J171</f>
        <v>DEFINIR CRITÉRIO</v>
      </c>
      <c r="H171" s="240" t="s">
        <v>2000</v>
      </c>
      <c r="I171" s="240" t="s">
        <v>2001</v>
      </c>
      <c r="J171" s="242" t="str">
        <f>IFERROR(IF(N171&lt;&gt;"",M171,IF(I171 = PARÂMETROS!$B$5,Q171, IF(I171 = PARÂMETROS!$B$6,R171,IF(I171 = PARÂMETROS!$B$7,S171,IF(I171 = PARÂMETROS!$B$8, T171,"DEFINIR CRITÉRIO"))))),"SEM PREÇO")</f>
        <v>DEFINIR CRITÉRIO</v>
      </c>
      <c r="K171" s="241" t="str">
        <f t="shared" si="74"/>
        <v/>
      </c>
      <c r="L171" s="238" t="str">
        <f t="shared" si="75"/>
        <v/>
      </c>
      <c r="M171" s="51"/>
      <c r="N171" s="52"/>
      <c r="O171" s="53"/>
      <c r="P171" s="235">
        <f t="shared" si="76"/>
        <v>2.64</v>
      </c>
      <c r="Q171" s="236">
        <f t="shared" si="77"/>
        <v>0</v>
      </c>
      <c r="R171" s="236">
        <f t="shared" si="78"/>
        <v>0</v>
      </c>
      <c r="S171" s="236">
        <f t="shared" si="79"/>
        <v>0</v>
      </c>
      <c r="T171" s="236">
        <f t="shared" si="80"/>
        <v>0</v>
      </c>
      <c r="U171" s="237" t="e">
        <f>IF(AA171 = "", "", IF(OR($H171 = PARÂMETROS!$E$5, $H171 = ""), AA171, IF(OR(AA171 &lt; (1-VLOOKUP($H171,PARÂMETROS!$E:$F,2,FALSE))*$P171, AA171 &gt; (1+VLOOKUP($H171,PARÂMETROS!$E:$F,2,FALSE))*$P171),"",AA171)))</f>
        <v>#N/A</v>
      </c>
      <c r="V171" s="237" t="e">
        <f>IF(AG171 = "", "", IF(OR($H171 = PARÂMETROS!$E$5, $H171 = ""), AG171, IF(OR(AG171 &lt; (1-VLOOKUP($H171,PARÂMETROS!$E:$F,2,FALSE))*$P176, AG171 &gt; (1+VLOOKUP($H171,PARÂMETROS!$E:$F,2,FALSE))*$P171),"",AG171)))</f>
        <v>#N/A</v>
      </c>
      <c r="W171" s="237" t="e">
        <f>IF(AM171 = "", "", IF(OR($H171 = PARÂMETROS!$E$5, $H171 = ""), AM171, IF(OR(AM171 &lt; (1-VLOOKUP($H171,PARÂMETROS!$E:$F,2,FALSE))*$P171, AM171 &gt; (1+VLOOKUP($H171,PARÂMETROS!$E:$F,2,FALSE))*$P171),"",AM171)))</f>
        <v>#N/A</v>
      </c>
      <c r="X171" s="237" t="str">
        <f>IF(AS171 = "", "", IF(OR($H171 = PARÂMETROS!$E$5, $H171 = ""), AS171, IF(OR(AS171 &lt; (1-VLOOKUP($H171,PARÂMETROS!$E:$F,2,FALSE))*$P171, AS171 &gt; (1+VLOOKUP($H171,PARÂMETROS!$E:$F,2,FALSE))*$P171),"",AS171)))</f>
        <v/>
      </c>
      <c r="Y171" s="237" t="str">
        <f>IF(AY171 = "", "", IF(OR($H171 = PARÂMETROS!$E$5, $H171 = ""), AY171, IF(OR(AY171 &lt; (1-VLOOKUP($H171,PARÂMETROS!$E:$F,2,FALSE))*$P171, AY171 &gt; (1+VLOOKUP($H171,PARÂMETROS!$E:$F,2,FALSE))*$P171),"",AY171)))</f>
        <v/>
      </c>
      <c r="Z171" s="237" t="str">
        <f>IF(BE171 = "", "", IF(OR($H171 = PARÂMETROS!$E$5, $H171 = ""), BE171, IF(OR(BE171 &lt; (1-VLOOKUP($H171,PARÂMETROS!$E:$F,2,FALSE))*$P171, BE171 &gt; (1+VLOOKUP($H171,PARÂMETROS!$E:$F,2,FALSE))*$P171),"",BE171)))</f>
        <v/>
      </c>
      <c r="AA171" s="207">
        <v>3.2</v>
      </c>
      <c r="AB171" s="208">
        <v>264</v>
      </c>
      <c r="AC171" s="206" t="e">
        <f>IF(AND(OR(AA171="",AA171=0),OR(AA171="",AB171=0)),"",IF(OR(AA171="",AA171=0),"DEFINIR PREÇO",IF(OR(AB171="",AB171=0),"DEFINIR FORNECEDOR",IF(OR(AA171&lt;&gt;"",AA171&lt;&gt;0),VLOOKUP(AB171,#REF!,2,FALSE)))))</f>
        <v>#REF!</v>
      </c>
      <c r="AD171" s="217" t="s">
        <v>1977</v>
      </c>
      <c r="AE171" s="218">
        <v>44925</v>
      </c>
      <c r="AF171" s="220" t="str">
        <f t="shared" ca="1" si="81"/>
        <v>DESATUALIZADA</v>
      </c>
      <c r="AG171" s="229">
        <v>2.4</v>
      </c>
      <c r="AH171" s="231">
        <v>1077</v>
      </c>
      <c r="AI171" s="206" t="e">
        <f>IF(AND(OR(AG171="",AG171=0),OR(AG171="",AH171=0)),"",IF(OR(AG171="",AG171=0),"DEFINIR PREÇO",IF(OR(AH171="",AH171=0),"DEFINIR FORNECEDOR",IF(OR(AG171&lt;&gt;"",AG171&lt;&gt;0),VLOOKUP(AH171,#REF!,2,FALSE)))))</f>
        <v>#REF!</v>
      </c>
      <c r="AJ171" s="217" t="s">
        <v>1977</v>
      </c>
      <c r="AK171" s="218">
        <v>44925</v>
      </c>
      <c r="AL171" s="220" t="str">
        <f t="shared" ca="1" si="82"/>
        <v>DESATUALIZADA</v>
      </c>
      <c r="AM171" s="229">
        <v>2.3199999999999998</v>
      </c>
      <c r="AN171" s="231">
        <v>1074</v>
      </c>
      <c r="AO171" s="206" t="e">
        <f>IF(AND(OR(AM171="",AM171=0),OR(AM171="",AN171=0)),"",IF(OR(AM171="",AM171=0),"DEFINIR PREÇO",IF(OR(AN171="",AN171=0),"DEFINIR FORNECEDOR",IF(OR(AM171&lt;&gt;"",AM171&lt;&gt;0),VLOOKUP(AN171,#REF!,2,FALSE)))))</f>
        <v>#REF!</v>
      </c>
      <c r="AP171" s="217" t="s">
        <v>1977</v>
      </c>
      <c r="AQ171" s="218">
        <v>44925</v>
      </c>
      <c r="AR171" s="220" t="str">
        <f t="shared" ca="1" si="83"/>
        <v>DESATUALIZADA</v>
      </c>
      <c r="AS171" s="229"/>
      <c r="AT171" s="231"/>
      <c r="AU171" s="194"/>
      <c r="AV171" s="217"/>
      <c r="AW171" s="218"/>
      <c r="AX171" s="220" t="str">
        <f t="shared" ca="1" si="84"/>
        <v/>
      </c>
      <c r="AY171" s="195"/>
      <c r="AZ171" s="196"/>
      <c r="BA171" s="209" t="str">
        <f>IF(AND(OR(AY171="",AY171=0),OR(AY171="",AZ171=0)),"",IF(OR(AY171="",AY171=0),"DEFINIR PREÇO",IF(OR(AZ171="",AZ171=0),"DEFINIR FORNECEDOR",IF(OR(AY171&lt;&gt;"",AY171&lt;&gt;0),VLOOKUP(AZ171,#REF!,2,FALSE)))))</f>
        <v/>
      </c>
      <c r="BB171" s="192"/>
      <c r="BC171" s="192"/>
      <c r="BD171" s="220" t="str">
        <f t="shared" ca="1" si="85"/>
        <v/>
      </c>
      <c r="BE171" s="195"/>
      <c r="BF171" s="196"/>
      <c r="BG171" s="194"/>
      <c r="BH171" s="192"/>
      <c r="BI171" s="192"/>
      <c r="BJ171" s="193"/>
    </row>
    <row r="172" spans="1:71" x14ac:dyDescent="0.25">
      <c r="A172" s="44" t="s">
        <v>405</v>
      </c>
      <c r="B172" s="58" t="s">
        <v>124</v>
      </c>
      <c r="C172" s="45">
        <v>4</v>
      </c>
      <c r="D172" s="55" t="s">
        <v>120</v>
      </c>
      <c r="E172" s="45" t="s">
        <v>21</v>
      </c>
      <c r="F172" s="46" t="e">
        <f>VLOOKUP(N172,#REF!,4,FALSE)</f>
        <v>#REF!</v>
      </c>
      <c r="G172" s="47" t="e">
        <f>VLOOKUP(N172,#REF!,5,FALSE)</f>
        <v>#REF!</v>
      </c>
      <c r="H172" s="240" t="s">
        <v>2000</v>
      </c>
      <c r="I172" s="240" t="s">
        <v>2001</v>
      </c>
      <c r="J172" s="242" t="str">
        <f>IFERROR(IF(N172&lt;&gt;"",M172,IF(I172 = PARÂMETROS!$B$5,Q172, IF(I172 = PARÂMETROS!$B$6,R172,IF(I172 = PARÂMETROS!$B$7,S172,IF(I172 = PARÂMETROS!$B$8, T172,"DEFINIR CRITÉRIO"))))),"SEM PREÇO")</f>
        <v>SEM PREÇO</v>
      </c>
      <c r="K172" s="241">
        <f t="shared" si="74"/>
        <v>0</v>
      </c>
      <c r="L172" s="238" t="str">
        <f t="shared" si="75"/>
        <v/>
      </c>
      <c r="M172" s="180" t="e">
        <f t="shared" ref="M172:M177" si="86">F172</f>
        <v>#REF!</v>
      </c>
      <c r="N172" s="52" t="s">
        <v>119</v>
      </c>
      <c r="O172" s="53" t="s">
        <v>422</v>
      </c>
      <c r="P172" s="235">
        <f t="shared" si="76"/>
        <v>0</v>
      </c>
      <c r="Q172" s="236">
        <f t="shared" si="77"/>
        <v>0</v>
      </c>
      <c r="R172" s="236">
        <f t="shared" si="78"/>
        <v>0</v>
      </c>
      <c r="S172" s="236">
        <f t="shared" si="79"/>
        <v>0</v>
      </c>
      <c r="T172" s="236">
        <f t="shared" si="80"/>
        <v>0</v>
      </c>
      <c r="U172" s="237" t="str">
        <f>IF(AA172 = "", "", IF(OR($H172 = PARÂMETROS!$E$5, $H172 = ""), AA172, IF(OR(AA172 &lt; (1-VLOOKUP($H172,PARÂMETROS!$E:$F,2,FALSE))*$P172, AA172 &gt; (1+VLOOKUP($H172,PARÂMETROS!$E:$F,2,FALSE))*$P172),"",AA172)))</f>
        <v/>
      </c>
      <c r="V172" s="237" t="str">
        <f>IF(AG172 = "", "", IF(OR($H172 = PARÂMETROS!$E$5, $H172 = ""), AG172, IF(OR(AG172 &lt; (1-VLOOKUP($H172,PARÂMETROS!$E:$F,2,FALSE))*$P177, AG172 &gt; (1+VLOOKUP($H172,PARÂMETROS!$E:$F,2,FALSE))*$P172),"",AG172)))</f>
        <v/>
      </c>
      <c r="W172" s="237" t="str">
        <f>IF(AM172 = "", "", IF(OR($H172 = PARÂMETROS!$E$5, $H172 = ""), AM172, IF(OR(AM172 &lt; (1-VLOOKUP($H172,PARÂMETROS!$E:$F,2,FALSE))*$P172, AM172 &gt; (1+VLOOKUP($H172,PARÂMETROS!$E:$F,2,FALSE))*$P172),"",AM172)))</f>
        <v/>
      </c>
      <c r="X172" s="237" t="str">
        <f>IF(AS172 = "", "", IF(OR($H172 = PARÂMETROS!$E$5, $H172 = ""), AS172, IF(OR(AS172 &lt; (1-VLOOKUP($H172,PARÂMETROS!$E:$F,2,FALSE))*$P172, AS172 &gt; (1+VLOOKUP($H172,PARÂMETROS!$E:$F,2,FALSE))*$P172),"",AS172)))</f>
        <v/>
      </c>
      <c r="Y172" s="237" t="str">
        <f>IF(AY172 = "", "", IF(OR($H172 = PARÂMETROS!$E$5, $H172 = ""), AY172, IF(OR(AY172 &lt; (1-VLOOKUP($H172,PARÂMETROS!$E:$F,2,FALSE))*$P172, AY172 &gt; (1+VLOOKUP($H172,PARÂMETROS!$E:$F,2,FALSE))*$P172),"",AY172)))</f>
        <v/>
      </c>
      <c r="Z172" s="237" t="str">
        <f>IF(BE172 = "", "", IF(OR($H172 = PARÂMETROS!$E$5, $H172 = ""), BE172, IF(OR(BE172 &lt; (1-VLOOKUP($H172,PARÂMETROS!$E:$F,2,FALSE))*$P172, BE172 &gt; (1+VLOOKUP($H172,PARÂMETROS!$E:$F,2,FALSE))*$P172),"",BE172)))</f>
        <v/>
      </c>
      <c r="AA172" s="207"/>
      <c r="AB172" s="208"/>
      <c r="AC172" s="206" t="str">
        <f>IF(AND(OR(AA172="",AA172=0),OR(AA172="",AB172=0)),"",IF(OR(AA172="",AA172=0),"DEFINIR PREÇO",IF(OR(AB172="",AB172=0),"DEFINIR FORNECEDOR",IF(OR(AA172&lt;&gt;"",AA172&lt;&gt;0),VLOOKUP(AB172,#REF!,2,FALSE)))))</f>
        <v/>
      </c>
      <c r="AD172" s="217"/>
      <c r="AE172" s="218"/>
      <c r="AF172" s="220" t="str">
        <f t="shared" ca="1" si="81"/>
        <v/>
      </c>
      <c r="AG172" s="229"/>
      <c r="AH172" s="231"/>
      <c r="AI172" s="206" t="str">
        <f>IF(AND(OR(AG172="",AG172=0),OR(AG172="",AH172=0)),"",IF(OR(AG172="",AG172=0),"DEFINIR PREÇO",IF(OR(AH172="",AH172=0),"DEFINIR FORNECEDOR",IF(OR(AG172&lt;&gt;"",AG172&lt;&gt;0),VLOOKUP(AH172,#REF!,2,FALSE)))))</f>
        <v/>
      </c>
      <c r="AJ172" s="217"/>
      <c r="AK172" s="218"/>
      <c r="AL172" s="220" t="str">
        <f t="shared" ca="1" si="82"/>
        <v/>
      </c>
      <c r="AM172" s="229"/>
      <c r="AN172" s="231"/>
      <c r="AO172" s="206" t="str">
        <f>IF(AND(OR(AM172="",AM172=0),OR(AM172="",AN172=0)),"",IF(OR(AM172="",AM172=0),"DEFINIR PREÇO",IF(OR(AN172="",AN172=0),"DEFINIR FORNECEDOR",IF(OR(AM172&lt;&gt;"",AM172&lt;&gt;0),VLOOKUP(AN172,#REF!,2,FALSE)))))</f>
        <v/>
      </c>
      <c r="AP172" s="217"/>
      <c r="AQ172" s="218"/>
      <c r="AR172" s="220" t="str">
        <f t="shared" ca="1" si="83"/>
        <v/>
      </c>
      <c r="AS172" s="229"/>
      <c r="AT172" s="231"/>
      <c r="AU172" s="194"/>
      <c r="AV172" s="217"/>
      <c r="AW172" s="218"/>
      <c r="AX172" s="220" t="str">
        <f t="shared" ca="1" si="84"/>
        <v/>
      </c>
      <c r="AY172" s="195"/>
      <c r="AZ172" s="196"/>
      <c r="BA172" s="209" t="str">
        <f>IF(AND(OR(AY172="",AY172=0),OR(AY172="",AZ172=0)),"",IF(OR(AY172="",AY172=0),"DEFINIR PREÇO",IF(OR(AZ172="",AZ172=0),"DEFINIR FORNECEDOR",IF(OR(AY172&lt;&gt;"",AY172&lt;&gt;0),VLOOKUP(AZ172,#REF!,2,FALSE)))))</f>
        <v/>
      </c>
      <c r="BB172" s="194"/>
      <c r="BC172" s="194"/>
      <c r="BD172" s="220" t="str">
        <f t="shared" ca="1" si="85"/>
        <v/>
      </c>
      <c r="BE172" s="195"/>
      <c r="BF172" s="196"/>
      <c r="BG172" s="194"/>
      <c r="BH172" s="194"/>
      <c r="BI172" s="194"/>
      <c r="BJ172" s="197"/>
    </row>
    <row r="173" spans="1:71" x14ac:dyDescent="0.25">
      <c r="A173" s="44" t="s">
        <v>405</v>
      </c>
      <c r="B173" s="58" t="s">
        <v>24</v>
      </c>
      <c r="C173" s="45">
        <v>1</v>
      </c>
      <c r="D173" s="55" t="s">
        <v>1265</v>
      </c>
      <c r="E173" s="45" t="s">
        <v>21</v>
      </c>
      <c r="F173" s="46" t="e">
        <f>VLOOKUP(B173,#REF!,7,FALSE)</f>
        <v>#REF!</v>
      </c>
      <c r="G173" s="47" t="e">
        <f>VLOOKUP(B173,#REF!,9,FALSE)</f>
        <v>#REF!</v>
      </c>
      <c r="H173" s="240" t="s">
        <v>2000</v>
      </c>
      <c r="I173" s="240" t="s">
        <v>2001</v>
      </c>
      <c r="J173" s="242" t="str">
        <f>IFERROR(IF(N173&lt;&gt;"",M173,IF(I173 = PARÂMETROS!$B$5,Q173, IF(I173 = PARÂMETROS!$B$6,R173,IF(I173 = PARÂMETROS!$B$7,S173,IF(I173 = PARÂMETROS!$B$8, T173,"DEFINIR CRITÉRIO"))))),"SEM PREÇO")</f>
        <v>SEM PREÇO</v>
      </c>
      <c r="K173" s="241">
        <f t="shared" si="74"/>
        <v>0</v>
      </c>
      <c r="L173" s="238" t="str">
        <f t="shared" si="75"/>
        <v/>
      </c>
      <c r="M173" s="180" t="e">
        <f t="shared" si="86"/>
        <v>#REF!</v>
      </c>
      <c r="N173" s="52" t="s">
        <v>22</v>
      </c>
      <c r="O173" s="53" t="s">
        <v>1264</v>
      </c>
      <c r="P173" s="235">
        <f t="shared" si="76"/>
        <v>0</v>
      </c>
      <c r="Q173" s="236">
        <f t="shared" si="77"/>
        <v>0</v>
      </c>
      <c r="R173" s="236">
        <f t="shared" si="78"/>
        <v>0</v>
      </c>
      <c r="S173" s="236">
        <f t="shared" si="79"/>
        <v>0</v>
      </c>
      <c r="T173" s="236">
        <f t="shared" si="80"/>
        <v>0</v>
      </c>
      <c r="U173" s="237" t="str">
        <f>IF(AA173 = "", "", IF(OR($H173 = PARÂMETROS!$E$5, $H173 = ""), AA173, IF(OR(AA173 &lt; (1-VLOOKUP($H173,PARÂMETROS!$E:$F,2,FALSE))*$P173, AA173 &gt; (1+VLOOKUP($H173,PARÂMETROS!$E:$F,2,FALSE))*$P173),"",AA173)))</f>
        <v/>
      </c>
      <c r="V173" s="237" t="str">
        <f>IF(AG173 = "", "", IF(OR($H173 = PARÂMETROS!$E$5, $H173 = ""), AG173, IF(OR(AG173 &lt; (1-VLOOKUP($H173,PARÂMETROS!$E:$F,2,FALSE))*$P178, AG173 &gt; (1+VLOOKUP($H173,PARÂMETROS!$E:$F,2,FALSE))*$P173),"",AG173)))</f>
        <v/>
      </c>
      <c r="W173" s="237" t="str">
        <f>IF(AM173 = "", "", IF(OR($H173 = PARÂMETROS!$E$5, $H173 = ""), AM173, IF(OR(AM173 &lt; (1-VLOOKUP($H173,PARÂMETROS!$E:$F,2,FALSE))*$P173, AM173 &gt; (1+VLOOKUP($H173,PARÂMETROS!$E:$F,2,FALSE))*$P173),"",AM173)))</f>
        <v/>
      </c>
      <c r="X173" s="237" t="str">
        <f>IF(AS173 = "", "", IF(OR($H173 = PARÂMETROS!$E$5, $H173 = ""), AS173, IF(OR(AS173 &lt; (1-VLOOKUP($H173,PARÂMETROS!$E:$F,2,FALSE))*$P173, AS173 &gt; (1+VLOOKUP($H173,PARÂMETROS!$E:$F,2,FALSE))*$P173),"",AS173)))</f>
        <v/>
      </c>
      <c r="Y173" s="237" t="str">
        <f>IF(AY173 = "", "", IF(OR($H173 = PARÂMETROS!$E$5, $H173 = ""), AY173, IF(OR(AY173 &lt; (1-VLOOKUP($H173,PARÂMETROS!$E:$F,2,FALSE))*$P173, AY173 &gt; (1+VLOOKUP($H173,PARÂMETROS!$E:$F,2,FALSE))*$P173),"",AY173)))</f>
        <v/>
      </c>
      <c r="Z173" s="237" t="str">
        <f>IF(BE173 = "", "", IF(OR($H173 = PARÂMETROS!$E$5, $H173 = ""), BE173, IF(OR(BE173 &lt; (1-VLOOKUP($H173,PARÂMETROS!$E:$F,2,FALSE))*$P173, BE173 &gt; (1+VLOOKUP($H173,PARÂMETROS!$E:$F,2,FALSE))*$P173),"",BE173)))</f>
        <v/>
      </c>
      <c r="AA173" s="207"/>
      <c r="AB173" s="208"/>
      <c r="AC173" s="206" t="str">
        <f>IF(AND(OR(AA173="",AA173=0),OR(AA173="",AB173=0)),"",IF(OR(AA173="",AA173=0),"DEFINIR PREÇO",IF(OR(AB173="",AB173=0),"DEFINIR FORNECEDOR",IF(OR(AA173&lt;&gt;"",AA173&lt;&gt;0),VLOOKUP(AB173,#REF!,2,FALSE)))))</f>
        <v/>
      </c>
      <c r="AD173" s="217"/>
      <c r="AE173" s="218"/>
      <c r="AF173" s="220" t="str">
        <f t="shared" ca="1" si="81"/>
        <v/>
      </c>
      <c r="AG173" s="229"/>
      <c r="AH173" s="231"/>
      <c r="AI173" s="206" t="str">
        <f>IF(AND(OR(AG173="",AG173=0),OR(AG173="",AH173=0)),"",IF(OR(AG173="",AG173=0),"DEFINIR PREÇO",IF(OR(AH173="",AH173=0),"DEFINIR FORNECEDOR",IF(OR(AG173&lt;&gt;"",AG173&lt;&gt;0),VLOOKUP(AH173,#REF!,2,FALSE)))))</f>
        <v/>
      </c>
      <c r="AJ173" s="217"/>
      <c r="AK173" s="218"/>
      <c r="AL173" s="220" t="str">
        <f t="shared" ca="1" si="82"/>
        <v/>
      </c>
      <c r="AM173" s="229"/>
      <c r="AN173" s="231"/>
      <c r="AO173" s="206" t="str">
        <f>IF(AND(OR(AM173="",AM173=0),OR(AM173="",AN173=0)),"",IF(OR(AM173="",AM173=0),"DEFINIR PREÇO",IF(OR(AN173="",AN173=0),"DEFINIR FORNECEDOR",IF(OR(AM173&lt;&gt;"",AM173&lt;&gt;0),VLOOKUP(AN173,#REF!,2,FALSE)))))</f>
        <v/>
      </c>
      <c r="AP173" s="217"/>
      <c r="AQ173" s="218"/>
      <c r="AR173" s="220" t="str">
        <f t="shared" ca="1" si="83"/>
        <v/>
      </c>
      <c r="AS173" s="229"/>
      <c r="AT173" s="231"/>
      <c r="AU173" s="194"/>
      <c r="AV173" s="217"/>
      <c r="AW173" s="218"/>
      <c r="AX173" s="220" t="str">
        <f t="shared" ca="1" si="84"/>
        <v/>
      </c>
      <c r="AY173" s="195"/>
      <c r="AZ173" s="196"/>
      <c r="BA173" s="209" t="str">
        <f>IF(AND(OR(AY173="",AY173=0),OR(AY173="",AZ173=0)),"",IF(OR(AY173="",AY173=0),"DEFINIR PREÇO",IF(OR(AZ173="",AZ173=0),"DEFINIR FORNECEDOR",IF(OR(AY173&lt;&gt;"",AY173&lt;&gt;0),VLOOKUP(AZ173,#REF!,2,FALSE)))))</f>
        <v/>
      </c>
      <c r="BB173" s="194"/>
      <c r="BC173" s="194"/>
      <c r="BD173" s="220" t="str">
        <f t="shared" ca="1" si="85"/>
        <v/>
      </c>
      <c r="BE173" s="195"/>
      <c r="BF173" s="196"/>
      <c r="BG173" s="194"/>
      <c r="BH173" s="194"/>
      <c r="BI173" s="194"/>
      <c r="BJ173" s="197"/>
    </row>
    <row r="174" spans="1:71" x14ac:dyDescent="0.25">
      <c r="A174" s="44" t="s">
        <v>405</v>
      </c>
      <c r="B174" s="58" t="s">
        <v>116</v>
      </c>
      <c r="C174" s="45">
        <v>1</v>
      </c>
      <c r="D174" s="55" t="s">
        <v>107</v>
      </c>
      <c r="E174" s="45" t="s">
        <v>21</v>
      </c>
      <c r="F174" s="46" t="e">
        <f>VLOOKUP(N174,#REF!,4,FALSE)</f>
        <v>#REF!</v>
      </c>
      <c r="G174" s="47" t="e">
        <f>VLOOKUP(N174,#REF!,5,FALSE)</f>
        <v>#REF!</v>
      </c>
      <c r="H174" s="240" t="s">
        <v>2000</v>
      </c>
      <c r="I174" s="240" t="s">
        <v>2001</v>
      </c>
      <c r="J174" s="242" t="str">
        <f>IFERROR(IF(N174&lt;&gt;"",M174,IF(I174 = PARÂMETROS!$B$5,Q174, IF(I174 = PARÂMETROS!$B$6,R174,IF(I174 = PARÂMETROS!$B$7,S174,IF(I174 = PARÂMETROS!$B$8, T174,"DEFINIR CRITÉRIO"))))),"SEM PREÇO")</f>
        <v>SEM PREÇO</v>
      </c>
      <c r="K174" s="241">
        <f t="shared" si="74"/>
        <v>0</v>
      </c>
      <c r="L174" s="238" t="str">
        <f t="shared" si="75"/>
        <v/>
      </c>
      <c r="M174" s="180" t="e">
        <f t="shared" si="86"/>
        <v>#REF!</v>
      </c>
      <c r="N174" s="52" t="s">
        <v>106</v>
      </c>
      <c r="O174" s="53" t="s">
        <v>422</v>
      </c>
      <c r="P174" s="235">
        <f t="shared" si="76"/>
        <v>0</v>
      </c>
      <c r="Q174" s="236">
        <f t="shared" si="77"/>
        <v>0</v>
      </c>
      <c r="R174" s="236">
        <f t="shared" si="78"/>
        <v>0</v>
      </c>
      <c r="S174" s="236">
        <f t="shared" si="79"/>
        <v>0</v>
      </c>
      <c r="T174" s="236">
        <f t="shared" si="80"/>
        <v>0</v>
      </c>
      <c r="U174" s="237" t="str">
        <f>IF(AA174 = "", "", IF(OR($H174 = PARÂMETROS!$E$5, $H174 = ""), AA174, IF(OR(AA174 &lt; (1-VLOOKUP($H174,PARÂMETROS!$E:$F,2,FALSE))*$P174, AA174 &gt; (1+VLOOKUP($H174,PARÂMETROS!$E:$F,2,FALSE))*$P174),"",AA174)))</f>
        <v/>
      </c>
      <c r="V174" s="237" t="str">
        <f>IF(AG174 = "", "", IF(OR($H174 = PARÂMETROS!$E$5, $H174 = ""), AG174, IF(OR(AG174 &lt; (1-VLOOKUP($H174,PARÂMETROS!$E:$F,2,FALSE))*$P179, AG174 &gt; (1+VLOOKUP($H174,PARÂMETROS!$E:$F,2,FALSE))*$P174),"",AG174)))</f>
        <v/>
      </c>
      <c r="W174" s="237" t="str">
        <f>IF(AM174 = "", "", IF(OR($H174 = PARÂMETROS!$E$5, $H174 = ""), AM174, IF(OR(AM174 &lt; (1-VLOOKUP($H174,PARÂMETROS!$E:$F,2,FALSE))*$P174, AM174 &gt; (1+VLOOKUP($H174,PARÂMETROS!$E:$F,2,FALSE))*$P174),"",AM174)))</f>
        <v/>
      </c>
      <c r="X174" s="237" t="str">
        <f>IF(AS174 = "", "", IF(OR($H174 = PARÂMETROS!$E$5, $H174 = ""), AS174, IF(OR(AS174 &lt; (1-VLOOKUP($H174,PARÂMETROS!$E:$F,2,FALSE))*$P174, AS174 &gt; (1+VLOOKUP($H174,PARÂMETROS!$E:$F,2,FALSE))*$P174),"",AS174)))</f>
        <v/>
      </c>
      <c r="Y174" s="237" t="str">
        <f>IF(AY174 = "", "", IF(OR($H174 = PARÂMETROS!$E$5, $H174 = ""), AY174, IF(OR(AY174 &lt; (1-VLOOKUP($H174,PARÂMETROS!$E:$F,2,FALSE))*$P174, AY174 &gt; (1+VLOOKUP($H174,PARÂMETROS!$E:$F,2,FALSE))*$P174),"",AY174)))</f>
        <v/>
      </c>
      <c r="Z174" s="237" t="str">
        <f>IF(BE174 = "", "", IF(OR($H174 = PARÂMETROS!$E$5, $H174 = ""), BE174, IF(OR(BE174 &lt; (1-VLOOKUP($H174,PARÂMETROS!$E:$F,2,FALSE))*$P174, BE174 &gt; (1+VLOOKUP($H174,PARÂMETROS!$E:$F,2,FALSE))*$P174),"",BE174)))</f>
        <v/>
      </c>
      <c r="AA174" s="207"/>
      <c r="AB174" s="208"/>
      <c r="AC174" s="206" t="str">
        <f>IF(AND(OR(AA174="",AA174=0),OR(AA174="",AB174=0)),"",IF(OR(AA174="",AA174=0),"DEFINIR PREÇO",IF(OR(AB174="",AB174=0),"DEFINIR FORNECEDOR",IF(OR(AA174&lt;&gt;"",AA174&lt;&gt;0),VLOOKUP(AB174,#REF!,2,FALSE)))))</f>
        <v/>
      </c>
      <c r="AD174" s="217"/>
      <c r="AE174" s="218"/>
      <c r="AF174" s="220" t="str">
        <f t="shared" ca="1" si="81"/>
        <v/>
      </c>
      <c r="AG174" s="229"/>
      <c r="AH174" s="231"/>
      <c r="AI174" s="206" t="str">
        <f>IF(AND(OR(AG174="",AG174=0),OR(AG174="",AH174=0)),"",IF(OR(AG174="",AG174=0),"DEFINIR PREÇO",IF(OR(AH174="",AH174=0),"DEFINIR FORNECEDOR",IF(OR(AG174&lt;&gt;"",AG174&lt;&gt;0),VLOOKUP(AH174,#REF!,2,FALSE)))))</f>
        <v/>
      </c>
      <c r="AJ174" s="217"/>
      <c r="AK174" s="218"/>
      <c r="AL174" s="220" t="str">
        <f t="shared" ca="1" si="82"/>
        <v/>
      </c>
      <c r="AM174" s="229"/>
      <c r="AN174" s="231"/>
      <c r="AO174" s="206" t="str">
        <f>IF(AND(OR(AM174="",AM174=0),OR(AM174="",AN174=0)),"",IF(OR(AM174="",AM174=0),"DEFINIR PREÇO",IF(OR(AN174="",AN174=0),"DEFINIR FORNECEDOR",IF(OR(AM174&lt;&gt;"",AM174&lt;&gt;0),VLOOKUP(AN174,#REF!,2,FALSE)))))</f>
        <v/>
      </c>
      <c r="AP174" s="217"/>
      <c r="AQ174" s="218"/>
      <c r="AR174" s="220" t="str">
        <f t="shared" ca="1" si="83"/>
        <v/>
      </c>
      <c r="AS174" s="229"/>
      <c r="AT174" s="231"/>
      <c r="AU174" s="194"/>
      <c r="AV174" s="217"/>
      <c r="AW174" s="218"/>
      <c r="AX174" s="220" t="str">
        <f t="shared" ca="1" si="84"/>
        <v/>
      </c>
      <c r="AY174" s="195"/>
      <c r="AZ174" s="196"/>
      <c r="BA174" s="209" t="str">
        <f>IF(AND(OR(AY174="",AY174=0),OR(AY174="",AZ174=0)),"",IF(OR(AY174="",AY174=0),"DEFINIR PREÇO",IF(OR(AZ174="",AZ174=0),"DEFINIR FORNECEDOR",IF(OR(AY174&lt;&gt;"",AY174&lt;&gt;0),VLOOKUP(AZ174,#REF!,2,FALSE)))))</f>
        <v/>
      </c>
      <c r="BB174" s="194"/>
      <c r="BC174" s="194"/>
      <c r="BD174" s="220" t="str">
        <f t="shared" ca="1" si="85"/>
        <v/>
      </c>
      <c r="BE174" s="195"/>
      <c r="BF174" s="196"/>
      <c r="BG174" s="194"/>
      <c r="BH174" s="194"/>
      <c r="BI174" s="194"/>
      <c r="BJ174" s="197"/>
    </row>
    <row r="175" spans="1:71" ht="25.5" x14ac:dyDescent="0.25">
      <c r="A175" s="44" t="s">
        <v>405</v>
      </c>
      <c r="B175" s="58" t="s">
        <v>54</v>
      </c>
      <c r="C175" s="45">
        <v>1</v>
      </c>
      <c r="D175" s="55" t="s">
        <v>1266</v>
      </c>
      <c r="E175" s="45" t="s">
        <v>21</v>
      </c>
      <c r="F175" s="46" t="e">
        <f>VLOOKUP(B175,#REF!,7,FALSE)</f>
        <v>#REF!</v>
      </c>
      <c r="G175" s="47" t="e">
        <f>VLOOKUP(B175,#REF!,9,FALSE)</f>
        <v>#REF!</v>
      </c>
      <c r="H175" s="240" t="s">
        <v>2000</v>
      </c>
      <c r="I175" s="240" t="s">
        <v>2001</v>
      </c>
      <c r="J175" s="242" t="str">
        <f>IFERROR(IF(N175&lt;&gt;"",M175,IF(I175 = PARÂMETROS!$B$5,Q175, IF(I175 = PARÂMETROS!$B$6,R175,IF(I175 = PARÂMETROS!$B$7,S175,IF(I175 = PARÂMETROS!$B$8, T175,"DEFINIR CRITÉRIO"))))),"SEM PREÇO")</f>
        <v>SEM PREÇO</v>
      </c>
      <c r="K175" s="241">
        <f t="shared" si="74"/>
        <v>0</v>
      </c>
      <c r="L175" s="238" t="str">
        <f t="shared" si="75"/>
        <v/>
      </c>
      <c r="M175" s="180" t="e">
        <f t="shared" si="86"/>
        <v>#REF!</v>
      </c>
      <c r="N175" s="52" t="s">
        <v>1051</v>
      </c>
      <c r="O175" s="53" t="s">
        <v>1264</v>
      </c>
      <c r="P175" s="235">
        <f t="shared" si="76"/>
        <v>0</v>
      </c>
      <c r="Q175" s="236">
        <f t="shared" si="77"/>
        <v>0</v>
      </c>
      <c r="R175" s="236">
        <f t="shared" si="78"/>
        <v>0</v>
      </c>
      <c r="S175" s="236">
        <f t="shared" si="79"/>
        <v>0</v>
      </c>
      <c r="T175" s="236">
        <f t="shared" si="80"/>
        <v>0</v>
      </c>
      <c r="U175" s="237" t="str">
        <f>IF(AA175 = "", "", IF(OR($H175 = PARÂMETROS!$E$5, $H175 = ""), AA175, IF(OR(AA175 &lt; (1-VLOOKUP($H175,PARÂMETROS!$E:$F,2,FALSE))*$P175, AA175 &gt; (1+VLOOKUP($H175,PARÂMETROS!$E:$F,2,FALSE))*$P175),"",AA175)))</f>
        <v/>
      </c>
      <c r="V175" s="237" t="str">
        <f>IF(AG175 = "", "", IF(OR($H175 = PARÂMETROS!$E$5, $H175 = ""), AG175, IF(OR(AG175 &lt; (1-VLOOKUP($H175,PARÂMETROS!$E:$F,2,FALSE))*$P180, AG175 &gt; (1+VLOOKUP($H175,PARÂMETROS!$E:$F,2,FALSE))*$P175),"",AG175)))</f>
        <v/>
      </c>
      <c r="W175" s="237" t="str">
        <f>IF(AM175 = "", "", IF(OR($H175 = PARÂMETROS!$E$5, $H175 = ""), AM175, IF(OR(AM175 &lt; (1-VLOOKUP($H175,PARÂMETROS!$E:$F,2,FALSE))*$P175, AM175 &gt; (1+VLOOKUP($H175,PARÂMETROS!$E:$F,2,FALSE))*$P175),"",AM175)))</f>
        <v/>
      </c>
      <c r="X175" s="237" t="str">
        <f>IF(AS175 = "", "", IF(OR($H175 = PARÂMETROS!$E$5, $H175 = ""), AS175, IF(OR(AS175 &lt; (1-VLOOKUP($H175,PARÂMETROS!$E:$F,2,FALSE))*$P175, AS175 &gt; (1+VLOOKUP($H175,PARÂMETROS!$E:$F,2,FALSE))*$P175),"",AS175)))</f>
        <v/>
      </c>
      <c r="Y175" s="237" t="str">
        <f>IF(AY175 = "", "", IF(OR($H175 = PARÂMETROS!$E$5, $H175 = ""), AY175, IF(OR(AY175 &lt; (1-VLOOKUP($H175,PARÂMETROS!$E:$F,2,FALSE))*$P175, AY175 &gt; (1+VLOOKUP($H175,PARÂMETROS!$E:$F,2,FALSE))*$P175),"",AY175)))</f>
        <v/>
      </c>
      <c r="Z175" s="237" t="str">
        <f>IF(BE175 = "", "", IF(OR($H175 = PARÂMETROS!$E$5, $H175 = ""), BE175, IF(OR(BE175 &lt; (1-VLOOKUP($H175,PARÂMETROS!$E:$F,2,FALSE))*$P175, BE175 &gt; (1+VLOOKUP($H175,PARÂMETROS!$E:$F,2,FALSE))*$P175),"",BE175)))</f>
        <v/>
      </c>
      <c r="AA175" s="207"/>
      <c r="AB175" s="208"/>
      <c r="AC175" s="206" t="str">
        <f>IF(AND(OR(AA175="",AA175=0),OR(AA175="",AB175=0)),"",IF(OR(AA175="",AA175=0),"DEFINIR PREÇO",IF(OR(AB175="",AB175=0),"DEFINIR FORNECEDOR",IF(OR(AA175&lt;&gt;"",AA175&lt;&gt;0),VLOOKUP(AB175,#REF!,2,FALSE)))))</f>
        <v/>
      </c>
      <c r="AD175" s="217"/>
      <c r="AE175" s="218"/>
      <c r="AF175" s="220" t="str">
        <f t="shared" ca="1" si="81"/>
        <v/>
      </c>
      <c r="AG175" s="229"/>
      <c r="AH175" s="231"/>
      <c r="AI175" s="206" t="str">
        <f>IF(AND(OR(AG175="",AG175=0),OR(AG175="",AH175=0)),"",IF(OR(AG175="",AG175=0),"DEFINIR PREÇO",IF(OR(AH175="",AH175=0),"DEFINIR FORNECEDOR",IF(OR(AG175&lt;&gt;"",AG175&lt;&gt;0),VLOOKUP(AH175,#REF!,2,FALSE)))))</f>
        <v/>
      </c>
      <c r="AJ175" s="217"/>
      <c r="AK175" s="218"/>
      <c r="AL175" s="220" t="str">
        <f t="shared" ca="1" si="82"/>
        <v/>
      </c>
      <c r="AM175" s="229"/>
      <c r="AN175" s="231"/>
      <c r="AO175" s="206" t="str">
        <f>IF(AND(OR(AM175="",AM175=0),OR(AM175="",AN175=0)),"",IF(OR(AM175="",AM175=0),"DEFINIR PREÇO",IF(OR(AN175="",AN175=0),"DEFINIR FORNECEDOR",IF(OR(AM175&lt;&gt;"",AM175&lt;&gt;0),VLOOKUP(AN175,#REF!,2,FALSE)))))</f>
        <v/>
      </c>
      <c r="AP175" s="217"/>
      <c r="AQ175" s="218"/>
      <c r="AR175" s="220" t="str">
        <f t="shared" ca="1" si="83"/>
        <v/>
      </c>
      <c r="AS175" s="229"/>
      <c r="AT175" s="231"/>
      <c r="AU175" s="194"/>
      <c r="AV175" s="217"/>
      <c r="AW175" s="218"/>
      <c r="AX175" s="220" t="str">
        <f t="shared" ca="1" si="84"/>
        <v/>
      </c>
      <c r="AY175" s="195"/>
      <c r="AZ175" s="196"/>
      <c r="BA175" s="209" t="str">
        <f>IF(AND(OR(AY175="",AY175=0),OR(AY175="",AZ175=0)),"",IF(OR(AY175="",AY175=0),"DEFINIR PREÇO",IF(OR(AZ175="",AZ175=0),"DEFINIR FORNECEDOR",IF(OR(AY175&lt;&gt;"",AY175&lt;&gt;0),VLOOKUP(AZ175,#REF!,2,FALSE)))))</f>
        <v/>
      </c>
      <c r="BB175" s="194"/>
      <c r="BC175" s="194"/>
      <c r="BD175" s="220" t="str">
        <f t="shared" ca="1" si="85"/>
        <v/>
      </c>
      <c r="BE175" s="195"/>
      <c r="BF175" s="196"/>
      <c r="BG175" s="194"/>
      <c r="BH175" s="194"/>
      <c r="BI175" s="194"/>
      <c r="BJ175" s="197"/>
    </row>
    <row r="176" spans="1:71" x14ac:dyDescent="0.25">
      <c r="A176" s="44" t="s">
        <v>405</v>
      </c>
      <c r="B176" s="58" t="s">
        <v>128</v>
      </c>
      <c r="C176" s="45">
        <v>1</v>
      </c>
      <c r="D176" s="55" t="s">
        <v>127</v>
      </c>
      <c r="E176" s="45" t="s">
        <v>26</v>
      </c>
      <c r="F176" s="46" t="e">
        <f>VLOOKUP(B176,#REF!,7,FALSE)</f>
        <v>#REF!</v>
      </c>
      <c r="G176" s="47" t="e">
        <f>VLOOKUP(B176,#REF!,9,FALSE)</f>
        <v>#REF!</v>
      </c>
      <c r="H176" s="240" t="s">
        <v>2000</v>
      </c>
      <c r="I176" s="240" t="s">
        <v>2001</v>
      </c>
      <c r="J176" s="242" t="str">
        <f>IFERROR(IF(N176&lt;&gt;"",M176,IF(I176 = PARÂMETROS!$B$5,Q176, IF(I176 = PARÂMETROS!$B$6,R176,IF(I176 = PARÂMETROS!$B$7,S176,IF(I176 = PARÂMETROS!$B$8, T176,"DEFINIR CRITÉRIO"))))),"SEM PREÇO")</f>
        <v>SEM PREÇO</v>
      </c>
      <c r="K176" s="241">
        <f t="shared" si="74"/>
        <v>0</v>
      </c>
      <c r="L176" s="238" t="str">
        <f t="shared" si="75"/>
        <v/>
      </c>
      <c r="M176" s="180" t="e">
        <f t="shared" si="86"/>
        <v>#REF!</v>
      </c>
      <c r="N176" s="52">
        <v>5823</v>
      </c>
      <c r="O176" s="53" t="s">
        <v>1264</v>
      </c>
      <c r="P176" s="235">
        <f t="shared" si="76"/>
        <v>0</v>
      </c>
      <c r="Q176" s="236">
        <f t="shared" si="77"/>
        <v>0</v>
      </c>
      <c r="R176" s="236">
        <f t="shared" si="78"/>
        <v>0</v>
      </c>
      <c r="S176" s="236">
        <f t="shared" si="79"/>
        <v>0</v>
      </c>
      <c r="T176" s="236">
        <f t="shared" si="80"/>
        <v>0</v>
      </c>
      <c r="U176" s="237" t="str">
        <f>IF(AA176 = "", "", IF(OR($H176 = PARÂMETROS!$E$5, $H176 = ""), AA176, IF(OR(AA176 &lt; (1-VLOOKUP($H176,PARÂMETROS!$E:$F,2,FALSE))*$P176, AA176 &gt; (1+VLOOKUP($H176,PARÂMETROS!$E:$F,2,FALSE))*$P176),"",AA176)))</f>
        <v/>
      </c>
      <c r="V176" s="237" t="str">
        <f>IF(AG176 = "", "", IF(OR($H176 = PARÂMETROS!$E$5, $H176 = ""), AG176, IF(OR(AG176 &lt; (1-VLOOKUP($H176,PARÂMETROS!$E:$F,2,FALSE))*$P181, AG176 &gt; (1+VLOOKUP($H176,PARÂMETROS!$E:$F,2,FALSE))*$P176),"",AG176)))</f>
        <v/>
      </c>
      <c r="W176" s="237" t="str">
        <f>IF(AM176 = "", "", IF(OR($H176 = PARÂMETROS!$E$5, $H176 = ""), AM176, IF(OR(AM176 &lt; (1-VLOOKUP($H176,PARÂMETROS!$E:$F,2,FALSE))*$P176, AM176 &gt; (1+VLOOKUP($H176,PARÂMETROS!$E:$F,2,FALSE))*$P176),"",AM176)))</f>
        <v/>
      </c>
      <c r="X176" s="237" t="str">
        <f>IF(AS176 = "", "", IF(OR($H176 = PARÂMETROS!$E$5, $H176 = ""), AS176, IF(OR(AS176 &lt; (1-VLOOKUP($H176,PARÂMETROS!$E:$F,2,FALSE))*$P176, AS176 &gt; (1+VLOOKUP($H176,PARÂMETROS!$E:$F,2,FALSE))*$P176),"",AS176)))</f>
        <v/>
      </c>
      <c r="Y176" s="237" t="str">
        <f>IF(AY176 = "", "", IF(OR($H176 = PARÂMETROS!$E$5, $H176 = ""), AY176, IF(OR(AY176 &lt; (1-VLOOKUP($H176,PARÂMETROS!$E:$F,2,FALSE))*$P176, AY176 &gt; (1+VLOOKUP($H176,PARÂMETROS!$E:$F,2,FALSE))*$P176),"",AY176)))</f>
        <v/>
      </c>
      <c r="Z176" s="237" t="str">
        <f>IF(BE176 = "", "", IF(OR($H176 = PARÂMETROS!$E$5, $H176 = ""), BE176, IF(OR(BE176 &lt; (1-VLOOKUP($H176,PARÂMETROS!$E:$F,2,FALSE))*$P176, BE176 &gt; (1+VLOOKUP($H176,PARÂMETROS!$E:$F,2,FALSE))*$P176),"",BE176)))</f>
        <v/>
      </c>
      <c r="AA176" s="207"/>
      <c r="AB176" s="208"/>
      <c r="AC176" s="206" t="str">
        <f>IF(AND(OR(AA176="",AA176=0),OR(AA176="",AB176=0)),"",IF(OR(AA176="",AA176=0),"DEFINIR PREÇO",IF(OR(AB176="",AB176=0),"DEFINIR FORNECEDOR",IF(OR(AA176&lt;&gt;"",AA176&lt;&gt;0),VLOOKUP(AB176,#REF!,2,FALSE)))))</f>
        <v/>
      </c>
      <c r="AD176" s="217"/>
      <c r="AE176" s="218"/>
      <c r="AF176" s="220" t="str">
        <f t="shared" ca="1" si="81"/>
        <v/>
      </c>
      <c r="AG176" s="229"/>
      <c r="AH176" s="231"/>
      <c r="AI176" s="206" t="str">
        <f>IF(AND(OR(AG176="",AG176=0),OR(AG176="",AH176=0)),"",IF(OR(AG176="",AG176=0),"DEFINIR PREÇO",IF(OR(AH176="",AH176=0),"DEFINIR FORNECEDOR",IF(OR(AG176&lt;&gt;"",AG176&lt;&gt;0),VLOOKUP(AH176,#REF!,2,FALSE)))))</f>
        <v/>
      </c>
      <c r="AJ176" s="217"/>
      <c r="AK176" s="218"/>
      <c r="AL176" s="220" t="str">
        <f t="shared" ca="1" si="82"/>
        <v/>
      </c>
      <c r="AM176" s="229"/>
      <c r="AN176" s="231"/>
      <c r="AO176" s="206" t="str">
        <f>IF(AND(OR(AM176="",AM176=0),OR(AM176="",AN176=0)),"",IF(OR(AM176="",AM176=0),"DEFINIR PREÇO",IF(OR(AN176="",AN176=0),"DEFINIR FORNECEDOR",IF(OR(AM176&lt;&gt;"",AM176&lt;&gt;0),VLOOKUP(AN176,#REF!,2,FALSE)))))</f>
        <v/>
      </c>
      <c r="AP176" s="217"/>
      <c r="AQ176" s="218"/>
      <c r="AR176" s="220" t="str">
        <f t="shared" ca="1" si="83"/>
        <v/>
      </c>
      <c r="AS176" s="229"/>
      <c r="AT176" s="231"/>
      <c r="AU176" s="194"/>
      <c r="AV176" s="217"/>
      <c r="AW176" s="218"/>
      <c r="AX176" s="220" t="str">
        <f t="shared" ca="1" si="84"/>
        <v/>
      </c>
      <c r="AY176" s="195"/>
      <c r="AZ176" s="196"/>
      <c r="BA176" s="209" t="str">
        <f>IF(AND(OR(AY176="",AY176=0),OR(AY176="",AZ176=0)),"",IF(OR(AY176="",AY176=0),"DEFINIR PREÇO",IF(OR(AZ176="",AZ176=0),"DEFINIR FORNECEDOR",IF(OR(AY176&lt;&gt;"",AY176&lt;&gt;0),VLOOKUP(AZ176,#REF!,2,FALSE)))))</f>
        <v/>
      </c>
      <c r="BB176" s="194"/>
      <c r="BC176" s="194"/>
      <c r="BD176" s="220" t="str">
        <f t="shared" ca="1" si="85"/>
        <v/>
      </c>
      <c r="BE176" s="195"/>
      <c r="BF176" s="196"/>
      <c r="BG176" s="194"/>
      <c r="BH176" s="194"/>
      <c r="BI176" s="194"/>
      <c r="BJ176" s="197"/>
    </row>
    <row r="177" spans="1:62" x14ac:dyDescent="0.25">
      <c r="A177" s="44" t="s">
        <v>405</v>
      </c>
      <c r="B177" s="58" t="s">
        <v>394</v>
      </c>
      <c r="C177" s="45">
        <v>1</v>
      </c>
      <c r="D177" s="55" t="s">
        <v>243</v>
      </c>
      <c r="E177" s="45" t="s">
        <v>21</v>
      </c>
      <c r="F177" s="46" t="e">
        <f>VLOOKUP(N177,#REF!,4,FALSE)</f>
        <v>#REF!</v>
      </c>
      <c r="G177" s="47" t="e">
        <f>VLOOKUP(N177,#REF!,5,FALSE)</f>
        <v>#REF!</v>
      </c>
      <c r="H177" s="240" t="s">
        <v>2000</v>
      </c>
      <c r="I177" s="240" t="s">
        <v>2001</v>
      </c>
      <c r="J177" s="242" t="str">
        <f>IFERROR(IF(N177&lt;&gt;"",M177,IF(I177 = PARÂMETROS!$B$5,Q177, IF(I177 = PARÂMETROS!$B$6,R177,IF(I177 = PARÂMETROS!$B$7,S177,IF(I177 = PARÂMETROS!$B$8, T177,"DEFINIR CRITÉRIO"))))),"SEM PREÇO")</f>
        <v>SEM PREÇO</v>
      </c>
      <c r="K177" s="241">
        <f t="shared" si="74"/>
        <v>0</v>
      </c>
      <c r="L177" s="238" t="str">
        <f t="shared" si="75"/>
        <v/>
      </c>
      <c r="M177" s="180" t="e">
        <f t="shared" si="86"/>
        <v>#REF!</v>
      </c>
      <c r="N177" s="52" t="s">
        <v>424</v>
      </c>
      <c r="O177" s="53" t="s">
        <v>422</v>
      </c>
      <c r="P177" s="235">
        <f t="shared" si="76"/>
        <v>0</v>
      </c>
      <c r="Q177" s="236">
        <f t="shared" si="77"/>
        <v>0</v>
      </c>
      <c r="R177" s="236">
        <f t="shared" si="78"/>
        <v>0</v>
      </c>
      <c r="S177" s="236">
        <f t="shared" si="79"/>
        <v>0</v>
      </c>
      <c r="T177" s="236">
        <f t="shared" si="80"/>
        <v>0</v>
      </c>
      <c r="U177" s="237" t="str">
        <f>IF(AA177 = "", "", IF(OR($H177 = PARÂMETROS!$E$5, $H177 = ""), AA177, IF(OR(AA177 &lt; (1-VLOOKUP($H177,PARÂMETROS!$E:$F,2,FALSE))*$P177, AA177 &gt; (1+VLOOKUP($H177,PARÂMETROS!$E:$F,2,FALSE))*$P177),"",AA177)))</f>
        <v/>
      </c>
      <c r="V177" s="237" t="str">
        <f>IF(AG177 = "", "", IF(OR($H177 = PARÂMETROS!$E$5, $H177 = ""), AG177, IF(OR(AG177 &lt; (1-VLOOKUP($H177,PARÂMETROS!$E:$F,2,FALSE))*$P182, AG177 &gt; (1+VLOOKUP($H177,PARÂMETROS!$E:$F,2,FALSE))*$P177),"",AG177)))</f>
        <v/>
      </c>
      <c r="W177" s="237" t="str">
        <f>IF(AM177 = "", "", IF(OR($H177 = PARÂMETROS!$E$5, $H177 = ""), AM177, IF(OR(AM177 &lt; (1-VLOOKUP($H177,PARÂMETROS!$E:$F,2,FALSE))*$P177, AM177 &gt; (1+VLOOKUP($H177,PARÂMETROS!$E:$F,2,FALSE))*$P177),"",AM177)))</f>
        <v/>
      </c>
      <c r="X177" s="237" t="str">
        <f>IF(AS177 = "", "", IF(OR($H177 = PARÂMETROS!$E$5, $H177 = ""), AS177, IF(OR(AS177 &lt; (1-VLOOKUP($H177,PARÂMETROS!$E:$F,2,FALSE))*$P177, AS177 &gt; (1+VLOOKUP($H177,PARÂMETROS!$E:$F,2,FALSE))*$P177),"",AS177)))</f>
        <v/>
      </c>
      <c r="Y177" s="237" t="str">
        <f>IF(AY177 = "", "", IF(OR($H177 = PARÂMETROS!$E$5, $H177 = ""), AY177, IF(OR(AY177 &lt; (1-VLOOKUP($H177,PARÂMETROS!$E:$F,2,FALSE))*$P177, AY177 &gt; (1+VLOOKUP($H177,PARÂMETROS!$E:$F,2,FALSE))*$P177),"",AY177)))</f>
        <v/>
      </c>
      <c r="Z177" s="237" t="str">
        <f>IF(BE177 = "", "", IF(OR($H177 = PARÂMETROS!$E$5, $H177 = ""), BE177, IF(OR(BE177 &lt; (1-VLOOKUP($H177,PARÂMETROS!$E:$F,2,FALSE))*$P177, BE177 &gt; (1+VLOOKUP($H177,PARÂMETROS!$E:$F,2,FALSE))*$P177),"",BE177)))</f>
        <v/>
      </c>
      <c r="AA177" s="207"/>
      <c r="AB177" s="208"/>
      <c r="AC177" s="206"/>
      <c r="AD177" s="217"/>
      <c r="AE177" s="218"/>
      <c r="AF177" s="220" t="str">
        <f t="shared" ca="1" si="81"/>
        <v/>
      </c>
      <c r="AG177" s="229"/>
      <c r="AH177" s="231"/>
      <c r="AI177" s="206" t="str">
        <f>IF(AND(OR(AG177="",AG177=0),OR(AG177="",AH177=0)),"",IF(OR(AG177="",AG177=0),"DEFINIR PREÇO",IF(OR(AH177="",AH177=0),"DEFINIR FORNECEDOR",IF(OR(AG177&lt;&gt;"",AG177&lt;&gt;0),VLOOKUP(AH177,#REF!,2,FALSE)))))</f>
        <v/>
      </c>
      <c r="AJ177" s="217"/>
      <c r="AK177" s="218"/>
      <c r="AL177" s="220" t="str">
        <f t="shared" ca="1" si="82"/>
        <v/>
      </c>
      <c r="AM177" s="229"/>
      <c r="AN177" s="231"/>
      <c r="AO177" s="206" t="str">
        <f>IF(AND(OR(AM177="",AM177=0),OR(AM177="",AN177=0)),"",IF(OR(AM177="",AM177=0),"DEFINIR PREÇO",IF(OR(AN177="",AN177=0),"DEFINIR FORNECEDOR",IF(OR(AM177&lt;&gt;"",AM177&lt;&gt;0),VLOOKUP(AN177,#REF!,2,FALSE)))))</f>
        <v/>
      </c>
      <c r="AP177" s="217"/>
      <c r="AQ177" s="218"/>
      <c r="AR177" s="220" t="str">
        <f t="shared" ca="1" si="83"/>
        <v/>
      </c>
      <c r="AS177" s="229"/>
      <c r="AT177" s="231"/>
      <c r="AU177" s="194"/>
      <c r="AV177" s="217"/>
      <c r="AW177" s="218"/>
      <c r="AX177" s="220" t="str">
        <f t="shared" ca="1" si="84"/>
        <v/>
      </c>
      <c r="AY177" s="195"/>
      <c r="AZ177" s="196"/>
      <c r="BA177" s="209" t="str">
        <f>IF(AND(OR(AY177="",AY177=0),OR(AY177="",AZ177=0)),"",IF(OR(AY177="",AY177=0),"DEFINIR PREÇO",IF(OR(AZ177="",AZ177=0),"DEFINIR FORNECEDOR",IF(OR(AY177&lt;&gt;"",AY177&lt;&gt;0),VLOOKUP(AZ177,#REF!,2,FALSE)))))</f>
        <v/>
      </c>
      <c r="BB177" s="194"/>
      <c r="BC177" s="194"/>
      <c r="BD177" s="220" t="str">
        <f t="shared" ca="1" si="85"/>
        <v/>
      </c>
      <c r="BE177" s="195"/>
      <c r="BF177" s="196"/>
      <c r="BG177" s="194"/>
      <c r="BH177" s="194"/>
      <c r="BI177" s="194"/>
      <c r="BJ177" s="197"/>
    </row>
    <row r="178" spans="1:62" ht="30" x14ac:dyDescent="0.25">
      <c r="A178" s="44" t="s">
        <v>405</v>
      </c>
      <c r="B178" s="58" t="s">
        <v>88</v>
      </c>
      <c r="C178" s="45">
        <v>1</v>
      </c>
      <c r="D178" s="55" t="s">
        <v>85</v>
      </c>
      <c r="E178" s="45" t="s">
        <v>21</v>
      </c>
      <c r="F178" s="46" t="e">
        <f>VLOOKUP(B178,#REF!,4,FALSE)</f>
        <v>#REF!</v>
      </c>
      <c r="G178" s="47" t="e">
        <f>VLOOKUP(B178,#REF!,4,FALSE)</f>
        <v>#REF!</v>
      </c>
      <c r="H178" s="240" t="s">
        <v>2000</v>
      </c>
      <c r="I178" s="240" t="s">
        <v>2001</v>
      </c>
      <c r="J178" s="242" t="str">
        <f>IFERROR(IF(N178&lt;&gt;"",M178,IF(I178 = PARÂMETROS!$B$5,Q178, IF(I178 = PARÂMETROS!$B$6,R178,IF(I178 = PARÂMETROS!$B$7,S178,IF(I178 = PARÂMETROS!$B$8, T178,"DEFINIR CRITÉRIO"))))),"SEM PREÇO")</f>
        <v>DEFINIR CRITÉRIO</v>
      </c>
      <c r="K178" s="241" t="str">
        <f t="shared" si="74"/>
        <v/>
      </c>
      <c r="L178" s="238" t="str">
        <f t="shared" si="75"/>
        <v/>
      </c>
      <c r="M178" s="51"/>
      <c r="N178" s="52"/>
      <c r="O178" s="53" t="s">
        <v>26</v>
      </c>
      <c r="P178" s="235">
        <f t="shared" si="76"/>
        <v>161.33000000000001</v>
      </c>
      <c r="Q178" s="236">
        <f t="shared" si="77"/>
        <v>0</v>
      </c>
      <c r="R178" s="236">
        <f t="shared" si="78"/>
        <v>0</v>
      </c>
      <c r="S178" s="236">
        <f t="shared" si="79"/>
        <v>0</v>
      </c>
      <c r="T178" s="236">
        <f t="shared" si="80"/>
        <v>0</v>
      </c>
      <c r="U178" s="237" t="e">
        <f>IF(AA178 = "", "", IF(OR($H178 = PARÂMETROS!$E$5, $H178 = ""), AA178, IF(OR(AA178 &lt; (1-VLOOKUP($H178,PARÂMETROS!$E:$F,2,FALSE))*$P178, AA178 &gt; (1+VLOOKUP($H178,PARÂMETROS!$E:$F,2,FALSE))*$P178),"",AA178)))</f>
        <v>#N/A</v>
      </c>
      <c r="V178" s="237" t="e">
        <f>IF(AG178 = "", "", IF(OR($H178 = PARÂMETROS!$E$5, $H178 = ""), AG178, IF(OR(AG178 &lt; (1-VLOOKUP($H178,PARÂMETROS!$E:$F,2,FALSE))*$P183, AG178 &gt; (1+VLOOKUP($H178,PARÂMETROS!$E:$F,2,FALSE))*$P178),"",AG178)))</f>
        <v>#N/A</v>
      </c>
      <c r="W178" s="237" t="e">
        <f>IF(AM178 = "", "", IF(OR($H178 = PARÂMETROS!$E$5, $H178 = ""), AM178, IF(OR(AM178 &lt; (1-VLOOKUP($H178,PARÂMETROS!$E:$F,2,FALSE))*$P178, AM178 &gt; (1+VLOOKUP($H178,PARÂMETROS!$E:$F,2,FALSE))*$P178),"",AM178)))</f>
        <v>#N/A</v>
      </c>
      <c r="X178" s="237" t="str">
        <f>IF(AS178 = "", "", IF(OR($H178 = PARÂMETROS!$E$5, $H178 = ""), AS178, IF(OR(AS178 &lt; (1-VLOOKUP($H178,PARÂMETROS!$E:$F,2,FALSE))*$P178, AS178 &gt; (1+VLOOKUP($H178,PARÂMETROS!$E:$F,2,FALSE))*$P178),"",AS178)))</f>
        <v/>
      </c>
      <c r="Y178" s="237" t="str">
        <f>IF(AY178 = "", "", IF(OR($H178 = PARÂMETROS!$E$5, $H178 = ""), AY178, IF(OR(AY178 &lt; (1-VLOOKUP($H178,PARÂMETROS!$E:$F,2,FALSE))*$P178, AY178 &gt; (1+VLOOKUP($H178,PARÂMETROS!$E:$F,2,FALSE))*$P178),"",AY178)))</f>
        <v/>
      </c>
      <c r="Z178" s="237" t="str">
        <f>IF(BE178 = "", "", IF(OR($H178 = PARÂMETROS!$E$5, $H178 = ""), BE178, IF(OR(BE178 &lt; (1-VLOOKUP($H178,PARÂMETROS!$E:$F,2,FALSE))*$P178, BE178 &gt; (1+VLOOKUP($H178,PARÂMETROS!$E:$F,2,FALSE))*$P178),"",BE178)))</f>
        <v/>
      </c>
      <c r="AA178" s="207">
        <v>116.99</v>
      </c>
      <c r="AB178" s="208">
        <v>2161</v>
      </c>
      <c r="AC178" s="206" t="e">
        <f>IF(AND(OR(AA178="",AA178=0),OR(AA178="",AB178=0)),"",IF(OR(AA178="",AA178=0),"DEFINIR PREÇO",IF(OR(AB178="",AB178=0),"DEFINIR FORNECEDOR",IF(OR(AA178&lt;&gt;"",AA178&lt;&gt;0),VLOOKUP(AB178,#REF!,2,FALSE)))))</f>
        <v>#REF!</v>
      </c>
      <c r="AD178" s="217" t="s">
        <v>1977</v>
      </c>
      <c r="AE178" s="218">
        <v>44916</v>
      </c>
      <c r="AF178" s="220" t="str">
        <f t="shared" ca="1" si="81"/>
        <v>DESATUALIZADA</v>
      </c>
      <c r="AG178" s="229">
        <v>177</v>
      </c>
      <c r="AH178" s="231">
        <v>2162</v>
      </c>
      <c r="AI178" s="206" t="e">
        <f>IF(AND(OR(AG178="",AG178=0),OR(AG178="",AH178=0)),"",IF(OR(AG178="",AG178=0),"DEFINIR PREÇO",IF(OR(AH178="",AH178=0),"DEFINIR FORNECEDOR",IF(OR(AG178&lt;&gt;"",AG178&lt;&gt;0),VLOOKUP(AH178,#REF!,2,FALSE)))))</f>
        <v>#REF!</v>
      </c>
      <c r="AJ178" s="217" t="s">
        <v>1977</v>
      </c>
      <c r="AK178" s="218">
        <v>44916</v>
      </c>
      <c r="AL178" s="220" t="str">
        <f t="shared" ca="1" si="82"/>
        <v>DESATUALIZADA</v>
      </c>
      <c r="AM178" s="229">
        <v>190</v>
      </c>
      <c r="AN178" s="231">
        <v>2163</v>
      </c>
      <c r="AO178" s="206" t="e">
        <f>IF(AND(OR(AM178="",AM178=0),OR(AM178="",AN178=0)),"",IF(OR(AM178="",AM178=0),"DEFINIR PREÇO",IF(OR(AN178="",AN178=0),"DEFINIR FORNECEDOR",IF(OR(AM178&lt;&gt;"",AM178&lt;&gt;0),VLOOKUP(AN178,#REF!,2,FALSE)))))</f>
        <v>#REF!</v>
      </c>
      <c r="AP178" s="217" t="s">
        <v>1977</v>
      </c>
      <c r="AQ178" s="218">
        <v>44916</v>
      </c>
      <c r="AR178" s="220" t="str">
        <f t="shared" ca="1" si="83"/>
        <v>DESATUALIZADA</v>
      </c>
      <c r="AS178" s="229"/>
      <c r="AT178" s="231"/>
      <c r="AU178" s="194" t="str">
        <f>IF(AND(OR(AS178="",AS178=0),OR(AS178="",AT178=0)),"",IF(OR(AS178="",AS178=0),"DEFINIR PREÇO",IF(OR(AT178="",AT178=0),"DEFINIR FORNECEDOR",IF(OR(AS178&lt;&gt;"",AS178&lt;&gt;0),VLOOKUP(AT178,#REF!,2,FALSE)))))</f>
        <v/>
      </c>
      <c r="AV178" s="217"/>
      <c r="AW178" s="218"/>
      <c r="AX178" s="220" t="str">
        <f t="shared" ca="1" si="84"/>
        <v/>
      </c>
      <c r="AY178" s="195"/>
      <c r="AZ178" s="196"/>
      <c r="BA178" s="209" t="str">
        <f>IF(AND(OR(AY178="",AY178=0),OR(AY178="",AZ178=0)),"",IF(OR(AY178="",AY178=0),"DEFINIR PREÇO",IF(OR(AZ178="",AZ178=0),"DEFINIR FORNECEDOR",IF(OR(AY178&lt;&gt;"",AY178&lt;&gt;0),VLOOKUP(AZ178,#REF!,2,FALSE)))))</f>
        <v/>
      </c>
      <c r="BB178" s="194"/>
      <c r="BC178" s="194"/>
      <c r="BD178" s="220" t="str">
        <f t="shared" ca="1" si="85"/>
        <v/>
      </c>
      <c r="BE178" s="195"/>
      <c r="BF178" s="196"/>
      <c r="BG178" s="194"/>
      <c r="BH178" s="194"/>
      <c r="BI178" s="194"/>
      <c r="BJ178" s="193"/>
    </row>
    <row r="179" spans="1:62" x14ac:dyDescent="0.25">
      <c r="A179" s="44" t="s">
        <v>405</v>
      </c>
      <c r="B179" s="58" t="s">
        <v>53</v>
      </c>
      <c r="C179" s="45">
        <v>1</v>
      </c>
      <c r="D179" s="55" t="s">
        <v>52</v>
      </c>
      <c r="E179" s="45" t="s">
        <v>21</v>
      </c>
      <c r="F179" s="46" t="e">
        <f>VLOOKUP(N179,#REF!,4,FALSE)</f>
        <v>#REF!</v>
      </c>
      <c r="G179" s="47" t="e">
        <f>VLOOKUP(N179,#REF!,5,FALSE)</f>
        <v>#REF!</v>
      </c>
      <c r="H179" s="240" t="s">
        <v>2000</v>
      </c>
      <c r="I179" s="240" t="s">
        <v>2001</v>
      </c>
      <c r="J179" s="242" t="str">
        <f>IFERROR(IF(N179&lt;&gt;"",M179,IF(I179 = PARÂMETROS!$B$5,Q179, IF(I179 = PARÂMETROS!$B$6,R179,IF(I179 = PARÂMETROS!$B$7,S179,IF(I179 = PARÂMETROS!$B$8, T179,"DEFINIR CRITÉRIO"))))),"SEM PREÇO")</f>
        <v>SEM PREÇO</v>
      </c>
      <c r="K179" s="241">
        <f t="shared" si="74"/>
        <v>0</v>
      </c>
      <c r="L179" s="238" t="str">
        <f t="shared" si="75"/>
        <v/>
      </c>
      <c r="M179" s="180" t="e">
        <f>F179</f>
        <v>#REF!</v>
      </c>
      <c r="N179" s="52" t="s">
        <v>1267</v>
      </c>
      <c r="O179" s="53" t="s">
        <v>422</v>
      </c>
      <c r="P179" s="235">
        <f t="shared" si="76"/>
        <v>0</v>
      </c>
      <c r="Q179" s="236">
        <f t="shared" si="77"/>
        <v>0</v>
      </c>
      <c r="R179" s="236">
        <f t="shared" si="78"/>
        <v>0</v>
      </c>
      <c r="S179" s="236">
        <f t="shared" si="79"/>
        <v>0</v>
      </c>
      <c r="T179" s="236">
        <f t="shared" si="80"/>
        <v>0</v>
      </c>
      <c r="U179" s="237" t="str">
        <f>IF(AA179 = "", "", IF(OR($H179 = PARÂMETROS!$E$5, $H179 = ""), AA179, IF(OR(AA179 &lt; (1-VLOOKUP($H179,PARÂMETROS!$E:$F,2,FALSE))*$P179, AA179 &gt; (1+VLOOKUP($H179,PARÂMETROS!$E:$F,2,FALSE))*$P179),"",AA179)))</f>
        <v/>
      </c>
      <c r="V179" s="237" t="str">
        <f>IF(AG179 = "", "", IF(OR($H179 = PARÂMETROS!$E$5, $H179 = ""), AG179, IF(OR(AG179 &lt; (1-VLOOKUP($H179,PARÂMETROS!$E:$F,2,FALSE))*$P184, AG179 &gt; (1+VLOOKUP($H179,PARÂMETROS!$E:$F,2,FALSE))*$P179),"",AG179)))</f>
        <v/>
      </c>
      <c r="W179" s="237" t="str">
        <f>IF(AM179 = "", "", IF(OR($H179 = PARÂMETROS!$E$5, $H179 = ""), AM179, IF(OR(AM179 &lt; (1-VLOOKUP($H179,PARÂMETROS!$E:$F,2,FALSE))*$P179, AM179 &gt; (1+VLOOKUP($H179,PARÂMETROS!$E:$F,2,FALSE))*$P179),"",AM179)))</f>
        <v/>
      </c>
      <c r="X179" s="237" t="str">
        <f>IF(AS179 = "", "", IF(OR($H179 = PARÂMETROS!$E$5, $H179 = ""), AS179, IF(OR(AS179 &lt; (1-VLOOKUP($H179,PARÂMETROS!$E:$F,2,FALSE))*$P179, AS179 &gt; (1+VLOOKUP($H179,PARÂMETROS!$E:$F,2,FALSE))*$P179),"",AS179)))</f>
        <v/>
      </c>
      <c r="Y179" s="237" t="str">
        <f>IF(AY179 = "", "", IF(OR($H179 = PARÂMETROS!$E$5, $H179 = ""), AY179, IF(OR(AY179 &lt; (1-VLOOKUP($H179,PARÂMETROS!$E:$F,2,FALSE))*$P179, AY179 &gt; (1+VLOOKUP($H179,PARÂMETROS!$E:$F,2,FALSE))*$P179),"",AY179)))</f>
        <v/>
      </c>
      <c r="Z179" s="237" t="str">
        <f>IF(BE179 = "", "", IF(OR($H179 = PARÂMETROS!$E$5, $H179 = ""), BE179, IF(OR(BE179 &lt; (1-VLOOKUP($H179,PARÂMETROS!$E:$F,2,FALSE))*$P179, BE179 &gt; (1+VLOOKUP($H179,PARÂMETROS!$E:$F,2,FALSE))*$P179),"",BE179)))</f>
        <v/>
      </c>
      <c r="AA179" s="207"/>
      <c r="AB179" s="208"/>
      <c r="AC179" s="206"/>
      <c r="AD179" s="217"/>
      <c r="AE179" s="218"/>
      <c r="AF179" s="220" t="str">
        <f t="shared" ca="1" si="81"/>
        <v/>
      </c>
      <c r="AG179" s="229"/>
      <c r="AH179" s="231"/>
      <c r="AI179" s="206" t="str">
        <f>IF(AND(OR(AG179="",AG179=0),OR(AG179="",AH179=0)),"",IF(OR(AG179="",AG179=0),"DEFINIR PREÇO",IF(OR(AH179="",AH179=0),"DEFINIR FORNECEDOR",IF(OR(AG179&lt;&gt;"",AG179&lt;&gt;0),VLOOKUP(AH179,#REF!,2,FALSE)))))</f>
        <v/>
      </c>
      <c r="AJ179" s="217"/>
      <c r="AK179" s="218"/>
      <c r="AL179" s="220" t="str">
        <f t="shared" ca="1" si="82"/>
        <v/>
      </c>
      <c r="AM179" s="229"/>
      <c r="AN179" s="231"/>
      <c r="AO179" s="206" t="str">
        <f>IF(AND(OR(AM179="",AM179=0),OR(AM179="",AN179=0)),"",IF(OR(AM179="",AM179=0),"DEFINIR PREÇO",IF(OR(AN179="",AN179=0),"DEFINIR FORNECEDOR",IF(OR(AM179&lt;&gt;"",AM179&lt;&gt;0),VLOOKUP(AN179,#REF!,2,FALSE)))))</f>
        <v/>
      </c>
      <c r="AP179" s="217"/>
      <c r="AQ179" s="218"/>
      <c r="AR179" s="220" t="str">
        <f t="shared" ca="1" si="83"/>
        <v/>
      </c>
      <c r="AS179" s="229"/>
      <c r="AT179" s="231"/>
      <c r="AU179" s="194"/>
      <c r="AV179" s="217"/>
      <c r="AW179" s="218"/>
      <c r="AX179" s="220" t="str">
        <f t="shared" ca="1" si="84"/>
        <v/>
      </c>
      <c r="AY179" s="195"/>
      <c r="AZ179" s="196"/>
      <c r="BA179" s="209" t="str">
        <f>IF(AND(OR(AY179="",AY179=0),OR(AY179="",AZ179=0)),"",IF(OR(AY179="",AY179=0),"DEFINIR PREÇO",IF(OR(AZ179="",AZ179=0),"DEFINIR FORNECEDOR",IF(OR(AY179&lt;&gt;"",AY179&lt;&gt;0),VLOOKUP(AZ179,#REF!,2,FALSE)))))</f>
        <v/>
      </c>
      <c r="BB179" s="194"/>
      <c r="BC179" s="194"/>
      <c r="BD179" s="220" t="str">
        <f t="shared" ca="1" si="85"/>
        <v/>
      </c>
      <c r="BE179" s="195"/>
      <c r="BF179" s="196"/>
      <c r="BG179" s="194"/>
      <c r="BH179" s="194"/>
      <c r="BI179" s="194"/>
      <c r="BJ179" s="197"/>
    </row>
    <row r="180" spans="1:62" ht="90" x14ac:dyDescent="0.25">
      <c r="A180" s="44" t="s">
        <v>405</v>
      </c>
      <c r="B180" s="58" t="s">
        <v>182</v>
      </c>
      <c r="C180" s="45">
        <v>1</v>
      </c>
      <c r="D180" s="244" t="s">
        <v>173</v>
      </c>
      <c r="E180" s="45" t="s">
        <v>21</v>
      </c>
      <c r="F180" s="46" t="e">
        <f>VLOOKUP(B180,#REF!,7,FALSE)</f>
        <v>#REF!</v>
      </c>
      <c r="G180" s="47" t="e">
        <f>VLOOKUP(B180,#REF!,9,FALSE)</f>
        <v>#REF!</v>
      </c>
      <c r="H180" s="240" t="s">
        <v>2000</v>
      </c>
      <c r="I180" s="240" t="s">
        <v>2001</v>
      </c>
      <c r="J180" s="242" t="str">
        <f>IFERROR(IF(N180&lt;&gt;"",M180,IF(I180 = PARÂMETROS!$B$5,Q180, IF(I180 = PARÂMETROS!$B$6,R180,IF(I180 = PARÂMETROS!$B$7,S180,IF(I180 = PARÂMETROS!$B$8, T180,"DEFINIR CRITÉRIO"))))),"SEM PREÇO")</f>
        <v>INSUMO DESCONTINUADO - USANDO SINAPI DIRETO NAS COMPOSIÇÕES</v>
      </c>
      <c r="K180" s="241">
        <f t="shared" si="74"/>
        <v>0</v>
      </c>
      <c r="L180" s="238" t="str">
        <f t="shared" si="75"/>
        <v/>
      </c>
      <c r="M180" s="249" t="s">
        <v>2076</v>
      </c>
      <c r="N180" s="52">
        <v>73467</v>
      </c>
      <c r="O180" s="53" t="s">
        <v>1264</v>
      </c>
      <c r="P180" s="235">
        <f t="shared" si="76"/>
        <v>0</v>
      </c>
      <c r="Q180" s="236">
        <f t="shared" si="77"/>
        <v>0</v>
      </c>
      <c r="R180" s="236">
        <f t="shared" si="78"/>
        <v>0</v>
      </c>
      <c r="S180" s="236">
        <f t="shared" si="79"/>
        <v>0</v>
      </c>
      <c r="T180" s="236">
        <f t="shared" si="80"/>
        <v>0</v>
      </c>
      <c r="U180" s="237" t="str">
        <f>IF(AA180 = "", "", IF(OR($H180 = PARÂMETROS!$E$5, $H180 = ""), AA180, IF(OR(AA180 &lt; (1-VLOOKUP($H180,PARÂMETROS!$E:$F,2,FALSE))*$P180, AA180 &gt; (1+VLOOKUP($H180,PARÂMETROS!$E:$F,2,FALSE))*$P180),"",AA180)))</f>
        <v/>
      </c>
      <c r="V180" s="237" t="str">
        <f>IF(AG180 = "", "", IF(OR($H180 = PARÂMETROS!$E$5, $H180 = ""), AG180, IF(OR(AG180 &lt; (1-VLOOKUP($H180,PARÂMETROS!$E:$F,2,FALSE))*$P185, AG180 &gt; (1+VLOOKUP($H180,PARÂMETROS!$E:$F,2,FALSE))*$P180),"",AG180)))</f>
        <v/>
      </c>
      <c r="W180" s="237" t="str">
        <f>IF(AM180 = "", "", IF(OR($H180 = PARÂMETROS!$E$5, $H180 = ""), AM180, IF(OR(AM180 &lt; (1-VLOOKUP($H180,PARÂMETROS!$E:$F,2,FALSE))*$P180, AM180 &gt; (1+VLOOKUP($H180,PARÂMETROS!$E:$F,2,FALSE))*$P180),"",AM180)))</f>
        <v/>
      </c>
      <c r="X180" s="237" t="str">
        <f>IF(AS180 = "", "", IF(OR($H180 = PARÂMETROS!$E$5, $H180 = ""), AS180, IF(OR(AS180 &lt; (1-VLOOKUP($H180,PARÂMETROS!$E:$F,2,FALSE))*$P180, AS180 &gt; (1+VLOOKUP($H180,PARÂMETROS!$E:$F,2,FALSE))*$P180),"",AS180)))</f>
        <v/>
      </c>
      <c r="Y180" s="237" t="str">
        <f>IF(AY180 = "", "", IF(OR($H180 = PARÂMETROS!$E$5, $H180 = ""), AY180, IF(OR(AY180 &lt; (1-VLOOKUP($H180,PARÂMETROS!$E:$F,2,FALSE))*$P180, AY180 &gt; (1+VLOOKUP($H180,PARÂMETROS!$E:$F,2,FALSE))*$P180),"",AY180)))</f>
        <v/>
      </c>
      <c r="Z180" s="237" t="str">
        <f>IF(BE180 = "", "", IF(OR($H180 = PARÂMETROS!$E$5, $H180 = ""), BE180, IF(OR(BE180 &lt; (1-VLOOKUP($H180,PARÂMETROS!$E:$F,2,FALSE))*$P180, BE180 &gt; (1+VLOOKUP($H180,PARÂMETROS!$E:$F,2,FALSE))*$P180),"",BE180)))</f>
        <v/>
      </c>
      <c r="AA180" s="207"/>
      <c r="AB180" s="208"/>
      <c r="AC180" s="206" t="str">
        <f>IF(AND(OR(AA180="",AA180=0),OR(AA180="",AB180=0)),"",IF(OR(AA180="",AA180=0),"DEFINIR PREÇO",IF(OR(AB180="",AB180=0),"DEFINIR FORNECEDOR",IF(OR(AA180&lt;&gt;"",AA180&lt;&gt;0),VLOOKUP(AB180,#REF!,2,FALSE)))))</f>
        <v/>
      </c>
      <c r="AD180" s="217"/>
      <c r="AE180" s="218"/>
      <c r="AF180" s="220" t="str">
        <f t="shared" ca="1" si="81"/>
        <v/>
      </c>
      <c r="AG180" s="229"/>
      <c r="AH180" s="231"/>
      <c r="AI180" s="206" t="str">
        <f>IF(AND(OR(AG180="",AG180=0),OR(AG180="",AH180=0)),"",IF(OR(AG180="",AG180=0),"DEFINIR PREÇO",IF(OR(AH180="",AH180=0),"DEFINIR FORNECEDOR",IF(OR(AG180&lt;&gt;"",AG180&lt;&gt;0),VLOOKUP(AH180,#REF!,2,FALSE)))))</f>
        <v/>
      </c>
      <c r="AJ180" s="217"/>
      <c r="AK180" s="218"/>
      <c r="AL180" s="220" t="str">
        <f t="shared" ca="1" si="82"/>
        <v/>
      </c>
      <c r="AM180" s="229"/>
      <c r="AN180" s="231"/>
      <c r="AO180" s="206" t="str">
        <f>IF(AND(OR(AM180="",AM180=0),OR(AM180="",AN180=0)),"",IF(OR(AM180="",AM180=0),"DEFINIR PREÇO",IF(OR(AN180="",AN180=0),"DEFINIR FORNECEDOR",IF(OR(AM180&lt;&gt;"",AM180&lt;&gt;0),VLOOKUP(AN180,#REF!,2,FALSE)))))</f>
        <v/>
      </c>
      <c r="AP180" s="217"/>
      <c r="AQ180" s="218"/>
      <c r="AR180" s="220" t="str">
        <f t="shared" ca="1" si="83"/>
        <v/>
      </c>
      <c r="AS180" s="229"/>
      <c r="AT180" s="231"/>
      <c r="AU180" s="194"/>
      <c r="AV180" s="217"/>
      <c r="AW180" s="218"/>
      <c r="AX180" s="220" t="str">
        <f t="shared" ca="1" si="84"/>
        <v/>
      </c>
      <c r="AY180" s="195"/>
      <c r="AZ180" s="196"/>
      <c r="BA180" s="209" t="str">
        <f>IF(AND(OR(AY180="",AY180=0),OR(AY180="",AZ180=0)),"",IF(OR(AY180="",AY180=0),"DEFINIR PREÇO",IF(OR(AZ180="",AZ180=0),"DEFINIR FORNECEDOR",IF(OR(AY180&lt;&gt;"",AY180&lt;&gt;0),VLOOKUP(AZ180,#REF!,2,FALSE)))))</f>
        <v/>
      </c>
      <c r="BB180" s="194"/>
      <c r="BC180" s="194"/>
      <c r="BD180" s="220" t="str">
        <f t="shared" ca="1" si="85"/>
        <v/>
      </c>
      <c r="BE180" s="195"/>
      <c r="BF180" s="196"/>
      <c r="BG180" s="194"/>
      <c r="BH180" s="194"/>
      <c r="BI180" s="194"/>
      <c r="BJ180" s="197"/>
    </row>
    <row r="181" spans="1:62" ht="90" x14ac:dyDescent="0.25">
      <c r="A181" s="44" t="s">
        <v>405</v>
      </c>
      <c r="B181" s="58" t="s">
        <v>108</v>
      </c>
      <c r="C181" s="45">
        <v>1</v>
      </c>
      <c r="D181" s="244" t="s">
        <v>98</v>
      </c>
      <c r="E181" s="45" t="s">
        <v>21</v>
      </c>
      <c r="F181" s="46" t="e">
        <f>VLOOKUP(B181,#REF!,7,FALSE)</f>
        <v>#REF!</v>
      </c>
      <c r="G181" s="47" t="e">
        <f>VLOOKUP(B181,#REF!,9,FALSE)</f>
        <v>#REF!</v>
      </c>
      <c r="H181" s="240" t="s">
        <v>2000</v>
      </c>
      <c r="I181" s="240" t="s">
        <v>2001</v>
      </c>
      <c r="J181" s="242" t="str">
        <f>IFERROR(IF(N181&lt;&gt;"",M181,IF(I181 = PARÂMETROS!$B$5,Q181, IF(I181 = PARÂMETROS!$B$6,R181,IF(I181 = PARÂMETROS!$B$7,S181,IF(I181 = PARÂMETROS!$B$8, T181,"DEFINIR CRITÉRIO"))))),"SEM PREÇO")</f>
        <v>INSUMO DESCONTINUADO - USANDO SINAPI DIRETO NAS COMPOSIÇÕES</v>
      </c>
      <c r="K181" s="241">
        <f t="shared" si="74"/>
        <v>0</v>
      </c>
      <c r="L181" s="238" t="str">
        <f t="shared" si="75"/>
        <v/>
      </c>
      <c r="M181" s="249" t="s">
        <v>2076</v>
      </c>
      <c r="N181" s="52">
        <v>91386</v>
      </c>
      <c r="O181" s="53" t="s">
        <v>1264</v>
      </c>
      <c r="P181" s="235">
        <f t="shared" si="76"/>
        <v>0</v>
      </c>
      <c r="Q181" s="236">
        <f t="shared" si="77"/>
        <v>0</v>
      </c>
      <c r="R181" s="236">
        <f t="shared" si="78"/>
        <v>0</v>
      </c>
      <c r="S181" s="236">
        <f t="shared" si="79"/>
        <v>0</v>
      </c>
      <c r="T181" s="236">
        <f t="shared" si="80"/>
        <v>0</v>
      </c>
      <c r="U181" s="237" t="str">
        <f>IF(AA181 = "", "", IF(OR($H181 = PARÂMETROS!$E$5, $H181 = ""), AA181, IF(OR(AA181 &lt; (1-VLOOKUP($H181,PARÂMETROS!$E:$F,2,FALSE))*$P181, AA181 &gt; (1+VLOOKUP($H181,PARÂMETROS!$E:$F,2,FALSE))*$P181),"",AA181)))</f>
        <v/>
      </c>
      <c r="V181" s="237" t="str">
        <f>IF(AG181 = "", "", IF(OR($H181 = PARÂMETROS!$E$5, $H181 = ""), AG181, IF(OR(AG181 &lt; (1-VLOOKUP($H181,PARÂMETROS!$E:$F,2,FALSE))*$P186, AG181 &gt; (1+VLOOKUP($H181,PARÂMETROS!$E:$F,2,FALSE))*$P181),"",AG181)))</f>
        <v/>
      </c>
      <c r="W181" s="237" t="str">
        <f>IF(AM181 = "", "", IF(OR($H181 = PARÂMETROS!$E$5, $H181 = ""), AM181, IF(OR(AM181 &lt; (1-VLOOKUP($H181,PARÂMETROS!$E:$F,2,FALSE))*$P181, AM181 &gt; (1+VLOOKUP($H181,PARÂMETROS!$E:$F,2,FALSE))*$P181),"",AM181)))</f>
        <v/>
      </c>
      <c r="X181" s="237" t="str">
        <f>IF(AS181 = "", "", IF(OR($H181 = PARÂMETROS!$E$5, $H181 = ""), AS181, IF(OR(AS181 &lt; (1-VLOOKUP($H181,PARÂMETROS!$E:$F,2,FALSE))*$P181, AS181 &gt; (1+VLOOKUP($H181,PARÂMETROS!$E:$F,2,FALSE))*$P181),"",AS181)))</f>
        <v/>
      </c>
      <c r="Y181" s="237" t="str">
        <f>IF(AY181 = "", "", IF(OR($H181 = PARÂMETROS!$E$5, $H181 = ""), AY181, IF(OR(AY181 &lt; (1-VLOOKUP($H181,PARÂMETROS!$E:$F,2,FALSE))*$P181, AY181 &gt; (1+VLOOKUP($H181,PARÂMETROS!$E:$F,2,FALSE))*$P181),"",AY181)))</f>
        <v/>
      </c>
      <c r="Z181" s="237" t="str">
        <f>IF(BE181 = "", "", IF(OR($H181 = PARÂMETROS!$E$5, $H181 = ""), BE181, IF(OR(BE181 &lt; (1-VLOOKUP($H181,PARÂMETROS!$E:$F,2,FALSE))*$P181, BE181 &gt; (1+VLOOKUP($H181,PARÂMETROS!$E:$F,2,FALSE))*$P181),"",BE181)))</f>
        <v/>
      </c>
      <c r="AA181" s="207"/>
      <c r="AB181" s="208"/>
      <c r="AC181" s="206" t="str">
        <f>IF(AND(OR(AA181="",AA181=0),OR(AA181="",AB181=0)),"",IF(OR(AA181="",AA181=0),"DEFINIR PREÇO",IF(OR(AB181="",AB181=0),"DEFINIR FORNECEDOR",IF(OR(AA181&lt;&gt;"",AA181&lt;&gt;0),VLOOKUP(AB181,#REF!,2,FALSE)))))</f>
        <v/>
      </c>
      <c r="AD181" s="217"/>
      <c r="AE181" s="218"/>
      <c r="AF181" s="220" t="str">
        <f t="shared" ca="1" si="81"/>
        <v/>
      </c>
      <c r="AG181" s="229"/>
      <c r="AH181" s="231"/>
      <c r="AI181" s="206" t="str">
        <f>IF(AND(OR(AG181="",AG181=0),OR(AG181="",AH181=0)),"",IF(OR(AG181="",AG181=0),"DEFINIR PREÇO",IF(OR(AH181="",AH181=0),"DEFINIR FORNECEDOR",IF(OR(AG181&lt;&gt;"",AG181&lt;&gt;0),VLOOKUP(AH181,#REF!,2,FALSE)))))</f>
        <v/>
      </c>
      <c r="AJ181" s="217"/>
      <c r="AK181" s="218"/>
      <c r="AL181" s="220" t="str">
        <f t="shared" ca="1" si="82"/>
        <v/>
      </c>
      <c r="AM181" s="229"/>
      <c r="AN181" s="231"/>
      <c r="AO181" s="206" t="str">
        <f>IF(AND(OR(AM181="",AM181=0),OR(AM181="",AN181=0)),"",IF(OR(AM181="",AM181=0),"DEFINIR PREÇO",IF(OR(AN181="",AN181=0),"DEFINIR FORNECEDOR",IF(OR(AM181&lt;&gt;"",AM181&lt;&gt;0),VLOOKUP(AN181,#REF!,2,FALSE)))))</f>
        <v/>
      </c>
      <c r="AP181" s="217"/>
      <c r="AQ181" s="218"/>
      <c r="AR181" s="220" t="str">
        <f t="shared" ca="1" si="83"/>
        <v/>
      </c>
      <c r="AS181" s="229"/>
      <c r="AT181" s="231"/>
      <c r="AU181" s="194"/>
      <c r="AV181" s="217"/>
      <c r="AW181" s="218"/>
      <c r="AX181" s="220" t="str">
        <f t="shared" ca="1" si="84"/>
        <v/>
      </c>
      <c r="AY181" s="195"/>
      <c r="AZ181" s="196"/>
      <c r="BA181" s="209" t="str">
        <f>IF(AND(OR(AY181="",AY181=0),OR(AY181="",AZ181=0)),"",IF(OR(AY181="",AY181=0),"DEFINIR PREÇO",IF(OR(AZ181="",AZ181=0),"DEFINIR FORNECEDOR",IF(OR(AY181&lt;&gt;"",AY181&lt;&gt;0),VLOOKUP(AZ181,#REF!,2,FALSE)))))</f>
        <v/>
      </c>
      <c r="BB181" s="194"/>
      <c r="BC181" s="194"/>
      <c r="BD181" s="220" t="str">
        <f t="shared" ca="1" si="85"/>
        <v/>
      </c>
      <c r="BE181" s="195"/>
      <c r="BF181" s="196"/>
      <c r="BG181" s="194"/>
      <c r="BH181" s="194"/>
      <c r="BI181" s="194"/>
      <c r="BJ181" s="197"/>
    </row>
    <row r="182" spans="1:62" x14ac:dyDescent="0.25">
      <c r="A182" s="44" t="s">
        <v>405</v>
      </c>
      <c r="B182" s="58" t="s">
        <v>123</v>
      </c>
      <c r="C182" s="45">
        <v>1</v>
      </c>
      <c r="D182" s="55" t="s">
        <v>113</v>
      </c>
      <c r="E182" s="45" t="s">
        <v>21</v>
      </c>
      <c r="F182" s="46" t="e">
        <f>VLOOKUP(N182,#REF!,4,FALSE)</f>
        <v>#REF!</v>
      </c>
      <c r="G182" s="47" t="e">
        <f>VLOOKUP(N182,#REF!,5,FALSE)</f>
        <v>#REF!</v>
      </c>
      <c r="H182" s="240" t="s">
        <v>2000</v>
      </c>
      <c r="I182" s="240" t="s">
        <v>2001</v>
      </c>
      <c r="J182" s="242" t="str">
        <f>IFERROR(IF(N182&lt;&gt;"",M182,IF(I182 = PARÂMETROS!$B$5,Q182, IF(I182 = PARÂMETROS!$B$6,R182,IF(I182 = PARÂMETROS!$B$7,S182,IF(I182 = PARÂMETROS!$B$8, T182,"DEFINIR CRITÉRIO"))))),"SEM PREÇO")</f>
        <v>SEM PREÇO</v>
      </c>
      <c r="K182" s="241">
        <f t="shared" si="74"/>
        <v>0</v>
      </c>
      <c r="L182" s="238" t="str">
        <f t="shared" si="75"/>
        <v/>
      </c>
      <c r="M182" s="180" t="e">
        <f>F182</f>
        <v>#REF!</v>
      </c>
      <c r="N182" s="52" t="s">
        <v>1268</v>
      </c>
      <c r="O182" s="53" t="s">
        <v>422</v>
      </c>
      <c r="P182" s="235">
        <f t="shared" si="76"/>
        <v>0</v>
      </c>
      <c r="Q182" s="236">
        <f t="shared" si="77"/>
        <v>0</v>
      </c>
      <c r="R182" s="236">
        <f t="shared" si="78"/>
        <v>0</v>
      </c>
      <c r="S182" s="236">
        <f t="shared" si="79"/>
        <v>0</v>
      </c>
      <c r="T182" s="236">
        <f t="shared" si="80"/>
        <v>0</v>
      </c>
      <c r="U182" s="237" t="str">
        <f>IF(AA182 = "", "", IF(OR($H182 = PARÂMETROS!$E$5, $H182 = ""), AA182, IF(OR(AA182 &lt; (1-VLOOKUP($H182,PARÂMETROS!$E:$F,2,FALSE))*$P182, AA182 &gt; (1+VLOOKUP($H182,PARÂMETROS!$E:$F,2,FALSE))*$P182),"",AA182)))</f>
        <v/>
      </c>
      <c r="V182" s="237" t="str">
        <f>IF(AG182 = "", "", IF(OR($H182 = PARÂMETROS!$E$5, $H182 = ""), AG182, IF(OR(AG182 &lt; (1-VLOOKUP($H182,PARÂMETROS!$E:$F,2,FALSE))*$P187, AG182 &gt; (1+VLOOKUP($H182,PARÂMETROS!$E:$F,2,FALSE))*$P182),"",AG182)))</f>
        <v/>
      </c>
      <c r="W182" s="237" t="str">
        <f>IF(AM182 = "", "", IF(OR($H182 = PARÂMETROS!$E$5, $H182 = ""), AM182, IF(OR(AM182 &lt; (1-VLOOKUP($H182,PARÂMETROS!$E:$F,2,FALSE))*$P182, AM182 &gt; (1+VLOOKUP($H182,PARÂMETROS!$E:$F,2,FALSE))*$P182),"",AM182)))</f>
        <v/>
      </c>
      <c r="X182" s="237" t="str">
        <f>IF(AS182 = "", "", IF(OR($H182 = PARÂMETROS!$E$5, $H182 = ""), AS182, IF(OR(AS182 &lt; (1-VLOOKUP($H182,PARÂMETROS!$E:$F,2,FALSE))*$P182, AS182 &gt; (1+VLOOKUP($H182,PARÂMETROS!$E:$F,2,FALSE))*$P182),"",AS182)))</f>
        <v/>
      </c>
      <c r="Y182" s="237" t="str">
        <f>IF(AY182 = "", "", IF(OR($H182 = PARÂMETROS!$E$5, $H182 = ""), AY182, IF(OR(AY182 &lt; (1-VLOOKUP($H182,PARÂMETROS!$E:$F,2,FALSE))*$P182, AY182 &gt; (1+VLOOKUP($H182,PARÂMETROS!$E:$F,2,FALSE))*$P182),"",AY182)))</f>
        <v/>
      </c>
      <c r="Z182" s="237" t="str">
        <f>IF(BE182 = "", "", IF(OR($H182 = PARÂMETROS!$E$5, $H182 = ""), BE182, IF(OR(BE182 &lt; (1-VLOOKUP($H182,PARÂMETROS!$E:$F,2,FALSE))*$P182, BE182 &gt; (1+VLOOKUP($H182,PARÂMETROS!$E:$F,2,FALSE))*$P182),"",BE182)))</f>
        <v/>
      </c>
      <c r="AA182" s="207"/>
      <c r="AB182" s="208"/>
      <c r="AC182" s="206" t="str">
        <f>IF(AND(OR(AA182="",AA182=0),OR(AA182="",AB182=0)),"",IF(OR(AA182="",AA182=0),"DEFINIR PREÇO",IF(OR(AB182="",AB182=0),"DEFINIR FORNECEDOR",IF(OR(AA182&lt;&gt;"",AA182&lt;&gt;0),VLOOKUP(AB182,#REF!,2,FALSE)))))</f>
        <v/>
      </c>
      <c r="AD182" s="217"/>
      <c r="AE182" s="218"/>
      <c r="AF182" s="220" t="str">
        <f t="shared" ca="1" si="81"/>
        <v/>
      </c>
      <c r="AG182" s="229"/>
      <c r="AH182" s="231"/>
      <c r="AI182" s="206" t="str">
        <f>IF(AND(OR(AG182="",AG182=0),OR(AG182="",AH182=0)),"",IF(OR(AG182="",AG182=0),"DEFINIR PREÇO",IF(OR(AH182="",AH182=0),"DEFINIR FORNECEDOR",IF(OR(AG182&lt;&gt;"",AG182&lt;&gt;0),VLOOKUP(AH182,#REF!,2,FALSE)))))</f>
        <v/>
      </c>
      <c r="AJ182" s="217"/>
      <c r="AK182" s="218"/>
      <c r="AL182" s="220" t="str">
        <f t="shared" ca="1" si="82"/>
        <v/>
      </c>
      <c r="AM182" s="229"/>
      <c r="AN182" s="231"/>
      <c r="AO182" s="206" t="str">
        <f>IF(AND(OR(AM182="",AM182=0),OR(AM182="",AN182=0)),"",IF(OR(AM182="",AM182=0),"DEFINIR PREÇO",IF(OR(AN182="",AN182=0),"DEFINIR FORNECEDOR",IF(OR(AM182&lt;&gt;"",AM182&lt;&gt;0),VLOOKUP(AN182,#REF!,2,FALSE)))))</f>
        <v/>
      </c>
      <c r="AP182" s="217"/>
      <c r="AQ182" s="218"/>
      <c r="AR182" s="220" t="str">
        <f t="shared" ca="1" si="83"/>
        <v/>
      </c>
      <c r="AS182" s="229"/>
      <c r="AT182" s="231"/>
      <c r="AU182" s="194"/>
      <c r="AV182" s="217"/>
      <c r="AW182" s="218"/>
      <c r="AX182" s="220" t="str">
        <f t="shared" ca="1" si="84"/>
        <v/>
      </c>
      <c r="AY182" s="195"/>
      <c r="AZ182" s="196"/>
      <c r="BA182" s="209" t="str">
        <f>IF(AND(OR(AY182="",AY182=0),OR(AY182="",AZ182=0)),"",IF(OR(AY182="",AY182=0),"DEFINIR PREÇO",IF(OR(AZ182="",AZ182=0),"DEFINIR FORNECEDOR",IF(OR(AY182&lt;&gt;"",AY182&lt;&gt;0),VLOOKUP(AZ182,#REF!,2,FALSE)))))</f>
        <v/>
      </c>
      <c r="BB182" s="194"/>
      <c r="BC182" s="194"/>
      <c r="BD182" s="220" t="str">
        <f t="shared" ca="1" si="85"/>
        <v/>
      </c>
      <c r="BE182" s="195"/>
      <c r="BF182" s="196"/>
      <c r="BG182" s="194"/>
      <c r="BH182" s="194"/>
      <c r="BI182" s="194"/>
      <c r="BJ182" s="197"/>
    </row>
    <row r="183" spans="1:62" ht="30" x14ac:dyDescent="0.25">
      <c r="A183" s="44" t="s">
        <v>405</v>
      </c>
      <c r="B183" s="58" t="s">
        <v>27</v>
      </c>
      <c r="C183" s="45">
        <v>5</v>
      </c>
      <c r="D183" s="178" t="s">
        <v>25</v>
      </c>
      <c r="E183" s="45" t="s">
        <v>21</v>
      </c>
      <c r="F183" s="46" t="e">
        <f>VLOOKUP(B183,#REF!,4,FALSE)</f>
        <v>#REF!</v>
      </c>
      <c r="G183" s="47" t="e">
        <f>VLOOKUP(B183,#REF!,4,FALSE)</f>
        <v>#REF!</v>
      </c>
      <c r="H183" s="240" t="s">
        <v>2000</v>
      </c>
      <c r="I183" s="240" t="s">
        <v>2001</v>
      </c>
      <c r="J183" s="242" t="str">
        <f>IFERROR(IF(N183&lt;&gt;"",M183,IF(I183 = PARÂMETROS!$B$5,Q183, IF(I183 = PARÂMETROS!$B$6,R183,IF(I183 = PARÂMETROS!$B$7,S183,IF(I183 = PARÂMETROS!$B$8, T183,"DEFINIR CRITÉRIO"))))),"SEM PREÇO")</f>
        <v>DEFINIR CRITÉRIO</v>
      </c>
      <c r="K183" s="241" t="str">
        <f t="shared" si="74"/>
        <v/>
      </c>
      <c r="L183" s="238" t="str">
        <f t="shared" si="75"/>
        <v/>
      </c>
      <c r="M183" s="51"/>
      <c r="N183" s="52"/>
      <c r="O183" s="53" t="s">
        <v>26</v>
      </c>
      <c r="P183" s="235">
        <f t="shared" si="76"/>
        <v>121880</v>
      </c>
      <c r="Q183" s="236">
        <f t="shared" si="77"/>
        <v>0</v>
      </c>
      <c r="R183" s="236">
        <f t="shared" si="78"/>
        <v>0</v>
      </c>
      <c r="S183" s="236">
        <f t="shared" si="79"/>
        <v>0</v>
      </c>
      <c r="T183" s="236">
        <f t="shared" si="80"/>
        <v>0</v>
      </c>
      <c r="U183" s="237" t="e">
        <f>IF(AA183 = "", "", IF(OR($H183 = PARÂMETROS!$E$5, $H183 = ""), AA183, IF(OR(AA183 &lt; (1-VLOOKUP($H183,PARÂMETROS!$E:$F,2,FALSE))*$P183, AA183 &gt; (1+VLOOKUP($H183,PARÂMETROS!$E:$F,2,FALSE))*$P183),"",AA183)))</f>
        <v>#N/A</v>
      </c>
      <c r="V183" s="237" t="str">
        <f>IF(AG183 = "", "", IF(OR($H183 = PARÂMETROS!$E$5, $H183 = ""), AG183, IF(OR(AG183 &lt; (1-VLOOKUP($H183,PARÂMETROS!$E:$F,2,FALSE))*$P188, AG183 &gt; (1+VLOOKUP($H183,PARÂMETROS!$E:$F,2,FALSE))*$P183),"",AG183)))</f>
        <v/>
      </c>
      <c r="W183" s="237" t="str">
        <f>IF(AM183 = "", "", IF(OR($H183 = PARÂMETROS!$E$5, $H183 = ""), AM183, IF(OR(AM183 &lt; (1-VLOOKUP($H183,PARÂMETROS!$E:$F,2,FALSE))*$P183, AM183 &gt; (1+VLOOKUP($H183,PARÂMETROS!$E:$F,2,FALSE))*$P183),"",AM183)))</f>
        <v/>
      </c>
      <c r="X183" s="237" t="str">
        <f>IF(AS183 = "", "", IF(OR($H183 = PARÂMETROS!$E$5, $H183 = ""), AS183, IF(OR(AS183 &lt; (1-VLOOKUP($H183,PARÂMETROS!$E:$F,2,FALSE))*$P183, AS183 &gt; (1+VLOOKUP($H183,PARÂMETROS!$E:$F,2,FALSE))*$P183),"",AS183)))</f>
        <v/>
      </c>
      <c r="Y183" s="237" t="str">
        <f>IF(AY183 = "", "", IF(OR($H183 = PARÂMETROS!$E$5, $H183 = ""), AY183, IF(OR(AY183 &lt; (1-VLOOKUP($H183,PARÂMETROS!$E:$F,2,FALSE))*$P183, AY183 &gt; (1+VLOOKUP($H183,PARÂMETROS!$E:$F,2,FALSE))*$P183),"",AY183)))</f>
        <v/>
      </c>
      <c r="Z183" s="237" t="str">
        <f>IF(BE183 = "", "", IF(OR($H183 = PARÂMETROS!$E$5, $H183 = ""), BE183, IF(OR(BE183 &lt; (1-VLOOKUP($H183,PARÂMETROS!$E:$F,2,FALSE))*$P183, BE183 &gt; (1+VLOOKUP($H183,PARÂMETROS!$E:$F,2,FALSE))*$P183),"",BE183)))</f>
        <v/>
      </c>
      <c r="AA183" s="207">
        <v>121880</v>
      </c>
      <c r="AB183" s="208">
        <v>1034</v>
      </c>
      <c r="AC183" s="206" t="e">
        <f>IF(AND(OR(AA183="",AA183=0),OR(AA183="",AB183=0)),"",IF(OR(AA183="",AA183=0),"DEFINIR PREÇO",IF(OR(AB183="",AB183=0),"DEFINIR FORNECEDOR",IF(OR(AA183&lt;&gt;"",AA183&lt;&gt;0),VLOOKUP(AB183,#REF!,2,FALSE)))))</f>
        <v>#REF!</v>
      </c>
      <c r="AD183" s="217" t="s">
        <v>1370</v>
      </c>
      <c r="AE183" s="218">
        <v>44777</v>
      </c>
      <c r="AF183" s="220" t="str">
        <f t="shared" ca="1" si="81"/>
        <v>DESATUALIZADA</v>
      </c>
      <c r="AG183" s="229"/>
      <c r="AH183" s="231"/>
      <c r="AI183" s="206" t="str">
        <f>IF(AND(OR(AG183="",AG183=0),OR(AG183="",AH183=0)),"",IF(OR(AG183="",AG183=0),"DEFINIR PREÇO",IF(OR(AH183="",AH183=0),"DEFINIR FORNECEDOR",IF(OR(AG183&lt;&gt;"",AG183&lt;&gt;0),VLOOKUP(AH183,#REF!,2,FALSE)))))</f>
        <v/>
      </c>
      <c r="AJ183" s="217"/>
      <c r="AK183" s="218"/>
      <c r="AL183" s="220" t="str">
        <f t="shared" ca="1" si="82"/>
        <v/>
      </c>
      <c r="AM183" s="229"/>
      <c r="AN183" s="231"/>
      <c r="AO183" s="206" t="str">
        <f>IF(AND(OR(AM183="",AM183=0),OR(AM183="",AN183=0)),"",IF(OR(AM183="",AM183=0),"DEFINIR PREÇO",IF(OR(AN183="",AN183=0),"DEFINIR FORNECEDOR",IF(OR(AM183&lt;&gt;"",AM183&lt;&gt;0),VLOOKUP(AN183,#REF!,2,FALSE)))))</f>
        <v/>
      </c>
      <c r="AP183" s="217"/>
      <c r="AQ183" s="218"/>
      <c r="AR183" s="220" t="str">
        <f t="shared" ca="1" si="83"/>
        <v/>
      </c>
      <c r="AS183" s="229"/>
      <c r="AT183" s="231"/>
      <c r="AU183" s="194"/>
      <c r="AV183" s="217"/>
      <c r="AW183" s="218"/>
      <c r="AX183" s="220" t="str">
        <f t="shared" ca="1" si="84"/>
        <v/>
      </c>
      <c r="AY183" s="195"/>
      <c r="AZ183" s="196"/>
      <c r="BA183" s="209" t="str">
        <f>IF(AND(OR(AY183="",AY183=0),OR(AY183="",AZ183=0)),"",IF(OR(AY183="",AY183=0),"DEFINIR PREÇO",IF(OR(AZ183="",AZ183=0),"DEFINIR FORNECEDOR",IF(OR(AY183&lt;&gt;"",AY183&lt;&gt;0),VLOOKUP(AZ183,#REF!,2,FALSE)))))</f>
        <v/>
      </c>
      <c r="BB183" s="194"/>
      <c r="BC183" s="194"/>
      <c r="BD183" s="220" t="str">
        <f t="shared" ca="1" si="85"/>
        <v/>
      </c>
      <c r="BE183" s="195"/>
      <c r="BF183" s="196"/>
      <c r="BG183" s="194"/>
      <c r="BH183" s="194"/>
      <c r="BI183" s="194"/>
      <c r="BJ183" s="197"/>
    </row>
    <row r="184" spans="1:62" ht="25.5" x14ac:dyDescent="0.25">
      <c r="A184" s="44" t="s">
        <v>405</v>
      </c>
      <c r="B184" s="58" t="s">
        <v>51</v>
      </c>
      <c r="C184" s="45">
        <v>1</v>
      </c>
      <c r="D184" s="55" t="s">
        <v>50</v>
      </c>
      <c r="E184" s="45" t="s">
        <v>21</v>
      </c>
      <c r="F184" s="46" t="e">
        <f>VLOOKUP(N184,#REF!,4,FALSE)</f>
        <v>#REF!</v>
      </c>
      <c r="G184" s="47" t="e">
        <f>VLOOKUP(N184,#REF!,5,FALSE)</f>
        <v>#REF!</v>
      </c>
      <c r="H184" s="240" t="s">
        <v>2000</v>
      </c>
      <c r="I184" s="240" t="s">
        <v>2001</v>
      </c>
      <c r="J184" s="242" t="str">
        <f>IFERROR(IF(N184&lt;&gt;"",M184,IF(I184 = PARÂMETROS!$B$5,Q184, IF(I184 = PARÂMETROS!$B$6,R184,IF(I184 = PARÂMETROS!$B$7,S184,IF(I184 = PARÂMETROS!$B$8, T184,"DEFINIR CRITÉRIO"))))),"SEM PREÇO")</f>
        <v>SEM PREÇO</v>
      </c>
      <c r="K184" s="241">
        <f t="shared" si="74"/>
        <v>0</v>
      </c>
      <c r="L184" s="238" t="str">
        <f t="shared" si="75"/>
        <v/>
      </c>
      <c r="M184" s="180" t="e">
        <f>F184</f>
        <v>#REF!</v>
      </c>
      <c r="N184" s="52" t="s">
        <v>1269</v>
      </c>
      <c r="O184" s="53" t="s">
        <v>422</v>
      </c>
      <c r="P184" s="235">
        <f t="shared" si="76"/>
        <v>0</v>
      </c>
      <c r="Q184" s="236">
        <f t="shared" si="77"/>
        <v>0</v>
      </c>
      <c r="R184" s="236">
        <f t="shared" si="78"/>
        <v>0</v>
      </c>
      <c r="S184" s="236">
        <f t="shared" si="79"/>
        <v>0</v>
      </c>
      <c r="T184" s="236">
        <f t="shared" si="80"/>
        <v>0</v>
      </c>
      <c r="U184" s="237" t="str">
        <f>IF(AA184 = "", "", IF(OR($H184 = PARÂMETROS!$E$5, $H184 = ""), AA184, IF(OR(AA184 &lt; (1-VLOOKUP($H184,PARÂMETROS!$E:$F,2,FALSE))*$P184, AA184 &gt; (1+VLOOKUP($H184,PARÂMETROS!$E:$F,2,FALSE))*$P184),"",AA184)))</f>
        <v/>
      </c>
      <c r="V184" s="237" t="str">
        <f>IF(AG184 = "", "", IF(OR($H184 = PARÂMETROS!$E$5, $H184 = ""), AG184, IF(OR(AG184 &lt; (1-VLOOKUP($H184,PARÂMETROS!$E:$F,2,FALSE))*$P189, AG184 &gt; (1+VLOOKUP($H184,PARÂMETROS!$E:$F,2,FALSE))*$P184),"",AG184)))</f>
        <v/>
      </c>
      <c r="W184" s="237" t="str">
        <f>IF(AM184 = "", "", IF(OR($H184 = PARÂMETROS!$E$5, $H184 = ""), AM184, IF(OR(AM184 &lt; (1-VLOOKUP($H184,PARÂMETROS!$E:$F,2,FALSE))*$P184, AM184 &gt; (1+VLOOKUP($H184,PARÂMETROS!$E:$F,2,FALSE))*$P184),"",AM184)))</f>
        <v/>
      </c>
      <c r="X184" s="237" t="str">
        <f>IF(AS184 = "", "", IF(OR($H184 = PARÂMETROS!$E$5, $H184 = ""), AS184, IF(OR(AS184 &lt; (1-VLOOKUP($H184,PARÂMETROS!$E:$F,2,FALSE))*$P184, AS184 &gt; (1+VLOOKUP($H184,PARÂMETROS!$E:$F,2,FALSE))*$P184),"",AS184)))</f>
        <v/>
      </c>
      <c r="Y184" s="237" t="str">
        <f>IF(AY184 = "", "", IF(OR($H184 = PARÂMETROS!$E$5, $H184 = ""), AY184, IF(OR(AY184 &lt; (1-VLOOKUP($H184,PARÂMETROS!$E:$F,2,FALSE))*$P184, AY184 &gt; (1+VLOOKUP($H184,PARÂMETROS!$E:$F,2,FALSE))*$P184),"",AY184)))</f>
        <v/>
      </c>
      <c r="Z184" s="237" t="str">
        <f>IF(BE184 = "", "", IF(OR($H184 = PARÂMETROS!$E$5, $H184 = ""), BE184, IF(OR(BE184 &lt; (1-VLOOKUP($H184,PARÂMETROS!$E:$F,2,FALSE))*$P184, BE184 &gt; (1+VLOOKUP($H184,PARÂMETROS!$E:$F,2,FALSE))*$P184),"",BE184)))</f>
        <v/>
      </c>
      <c r="AA184" s="207"/>
      <c r="AB184" s="208"/>
      <c r="AC184" s="206"/>
      <c r="AD184" s="217"/>
      <c r="AE184" s="218"/>
      <c r="AF184" s="220" t="str">
        <f t="shared" ca="1" si="81"/>
        <v/>
      </c>
      <c r="AG184" s="229"/>
      <c r="AH184" s="231"/>
      <c r="AI184" s="206" t="str">
        <f>IF(AND(OR(AG184="",AG184=0),OR(AG184="",AH184=0)),"",IF(OR(AG184="",AG184=0),"DEFINIR PREÇO",IF(OR(AH184="",AH184=0),"DEFINIR FORNECEDOR",IF(OR(AG184&lt;&gt;"",AG184&lt;&gt;0),VLOOKUP(AH184,#REF!,2,FALSE)))))</f>
        <v/>
      </c>
      <c r="AJ184" s="217"/>
      <c r="AK184" s="218"/>
      <c r="AL184" s="220" t="str">
        <f t="shared" ca="1" si="82"/>
        <v/>
      </c>
      <c r="AM184" s="229"/>
      <c r="AN184" s="231"/>
      <c r="AO184" s="206" t="str">
        <f>IF(AND(OR(AM184="",AM184=0),OR(AM184="",AN184=0)),"",IF(OR(AM184="",AM184=0),"DEFINIR PREÇO",IF(OR(AN184="",AN184=0),"DEFINIR FORNECEDOR",IF(OR(AM184&lt;&gt;"",AM184&lt;&gt;0),VLOOKUP(AN184,#REF!,2,FALSE)))))</f>
        <v/>
      </c>
      <c r="AP184" s="217"/>
      <c r="AQ184" s="218"/>
      <c r="AR184" s="220" t="str">
        <f t="shared" ca="1" si="83"/>
        <v/>
      </c>
      <c r="AS184" s="229"/>
      <c r="AT184" s="231"/>
      <c r="AU184" s="194"/>
      <c r="AV184" s="217"/>
      <c r="AW184" s="218"/>
      <c r="AX184" s="220" t="str">
        <f t="shared" ca="1" si="84"/>
        <v/>
      </c>
      <c r="AY184" s="195"/>
      <c r="AZ184" s="196"/>
      <c r="BA184" s="209" t="str">
        <f>IF(AND(OR(AY184="",AY184=0),OR(AY184="",AZ184=0)),"",IF(OR(AY184="",AY184=0),"DEFINIR PREÇO",IF(OR(AZ184="",AZ184=0),"DEFINIR FORNECEDOR",IF(OR(AY184&lt;&gt;"",AY184&lt;&gt;0),VLOOKUP(AZ184,#REF!,2,FALSE)))))</f>
        <v/>
      </c>
      <c r="BB184" s="194"/>
      <c r="BC184" s="194"/>
      <c r="BD184" s="220" t="str">
        <f t="shared" ca="1" si="85"/>
        <v/>
      </c>
      <c r="BE184" s="195"/>
      <c r="BF184" s="196"/>
      <c r="BG184" s="194"/>
      <c r="BH184" s="194"/>
      <c r="BI184" s="194"/>
      <c r="BJ184" s="197"/>
    </row>
    <row r="185" spans="1:62" ht="41.25" customHeight="1" x14ac:dyDescent="0.25">
      <c r="A185" s="44" t="s">
        <v>405</v>
      </c>
      <c r="B185" s="58" t="s">
        <v>1355</v>
      </c>
      <c r="C185" s="45">
        <v>1</v>
      </c>
      <c r="D185" s="179" t="s">
        <v>1356</v>
      </c>
      <c r="E185" s="45" t="s">
        <v>89</v>
      </c>
      <c r="F185" s="46" t="str">
        <f>J185</f>
        <v>DEFINIR CRITÉRIO</v>
      </c>
      <c r="G185" s="47" t="str">
        <f>J185</f>
        <v>DEFINIR CRITÉRIO</v>
      </c>
      <c r="H185" s="240" t="s">
        <v>2000</v>
      </c>
      <c r="I185" s="240" t="s">
        <v>2001</v>
      </c>
      <c r="J185" s="242" t="str">
        <f>IFERROR(IF(N185&lt;&gt;"",M185,IF(I185 = PARÂMETROS!$B$5,Q185, IF(I185 = PARÂMETROS!$B$6,R185,IF(I185 = PARÂMETROS!$B$7,S185,IF(I185 = PARÂMETROS!$B$8, T185,"DEFINIR CRITÉRIO"))))),"SEM PREÇO")</f>
        <v>DEFINIR CRITÉRIO</v>
      </c>
      <c r="K185" s="241" t="str">
        <f t="shared" si="74"/>
        <v/>
      </c>
      <c r="L185" s="238" t="str">
        <f t="shared" si="75"/>
        <v/>
      </c>
      <c r="M185" s="51"/>
      <c r="N185" s="52"/>
      <c r="O185" s="53"/>
      <c r="P185" s="235">
        <f t="shared" si="76"/>
        <v>170</v>
      </c>
      <c r="Q185" s="236">
        <f t="shared" si="77"/>
        <v>0</v>
      </c>
      <c r="R185" s="236">
        <f t="shared" si="78"/>
        <v>0</v>
      </c>
      <c r="S185" s="236">
        <f t="shared" si="79"/>
        <v>0</v>
      </c>
      <c r="T185" s="236">
        <f t="shared" si="80"/>
        <v>0</v>
      </c>
      <c r="U185" s="237" t="e">
        <f>IF(AA185 = "", "", IF(OR($H185 = PARÂMETROS!$E$5, $H185 = ""), AA185, IF(OR(AA185 &lt; (1-VLOOKUP($H185,PARÂMETROS!$E:$F,2,FALSE))*$P185, AA185 &gt; (1+VLOOKUP($H185,PARÂMETROS!$E:$F,2,FALSE))*$P185),"",AA185)))</f>
        <v>#N/A</v>
      </c>
      <c r="V185" s="237" t="str">
        <f>IF(AG185 = "", "", IF(OR($H185 = PARÂMETROS!$E$5, $H185 = ""), AG185, IF(OR(AG185 &lt; (1-VLOOKUP($H185,PARÂMETROS!$E:$F,2,FALSE))*$P190, AG185 &gt; (1+VLOOKUP($H185,PARÂMETROS!$E:$F,2,FALSE))*$P185),"",AG185)))</f>
        <v/>
      </c>
      <c r="W185" s="237" t="str">
        <f>IF(AM185 = "", "", IF(OR($H185 = PARÂMETROS!$E$5, $H185 = ""), AM185, IF(OR(AM185 &lt; (1-VLOOKUP($H185,PARÂMETROS!$E:$F,2,FALSE))*$P185, AM185 &gt; (1+VLOOKUP($H185,PARÂMETROS!$E:$F,2,FALSE))*$P185),"",AM185)))</f>
        <v/>
      </c>
      <c r="X185" s="237" t="str">
        <f>IF(AS185 = "", "", IF(OR($H185 = PARÂMETROS!$E$5, $H185 = ""), AS185, IF(OR(AS185 &lt; (1-VLOOKUP($H185,PARÂMETROS!$E:$F,2,FALSE))*$P185, AS185 &gt; (1+VLOOKUP($H185,PARÂMETROS!$E:$F,2,FALSE))*$P185),"",AS185)))</f>
        <v/>
      </c>
      <c r="Y185" s="237" t="str">
        <f>IF(AY185 = "", "", IF(OR($H185 = PARÂMETROS!$E$5, $H185 = ""), AY185, IF(OR(AY185 &lt; (1-VLOOKUP($H185,PARÂMETROS!$E:$F,2,FALSE))*$P185, AY185 &gt; (1+VLOOKUP($H185,PARÂMETROS!$E:$F,2,FALSE))*$P185),"",AY185)))</f>
        <v/>
      </c>
      <c r="Z185" s="237" t="str">
        <f>IF(BE185 = "", "", IF(OR($H185 = PARÂMETROS!$E$5, $H185 = ""), BE185, IF(OR(BE185 &lt; (1-VLOOKUP($H185,PARÂMETROS!$E:$F,2,FALSE))*$P185, BE185 &gt; (1+VLOOKUP($H185,PARÂMETROS!$E:$F,2,FALSE))*$P185),"",BE185)))</f>
        <v/>
      </c>
      <c r="AA185" s="49">
        <v>170</v>
      </c>
      <c r="AB185" s="50">
        <v>2001</v>
      </c>
      <c r="AC185" s="206" t="e">
        <f>IF(AND(OR(AA185="",AA185=0),OR(AA185="",AB185=0)),"",IF(OR(AA185="",AA185=0),"DEFINIR PREÇO",IF(OR(AB185="",AB185=0),"DEFINIR FORNECEDOR",IF(OR(AA185&lt;&gt;"",AA185&lt;&gt;0),VLOOKUP(AB185,#REF!,2,FALSE)))))</f>
        <v>#REF!</v>
      </c>
      <c r="AD185" s="217"/>
      <c r="AE185" s="218">
        <v>44739</v>
      </c>
      <c r="AF185" s="220" t="str">
        <f t="shared" ca="1" si="81"/>
        <v>DESATUALIZADA</v>
      </c>
      <c r="AG185" s="49"/>
      <c r="AH185" s="50"/>
      <c r="AI185" s="206"/>
      <c r="AJ185" s="217"/>
      <c r="AK185" s="218"/>
      <c r="AL185" s="220" t="str">
        <f t="shared" ca="1" si="82"/>
        <v/>
      </c>
      <c r="AM185" s="229"/>
      <c r="AN185" s="231"/>
      <c r="AO185" s="206" t="str">
        <f>IF(AND(OR(AM185="",AM185=0),OR(AM185="",AN185=0)),"",IF(OR(AM185="",AM185=0),"DEFINIR PREÇO",IF(OR(AN185="",AN185=0),"DEFINIR FORNECEDOR",IF(OR(AM185&lt;&gt;"",AM185&lt;&gt;0),VLOOKUP(AN185,#REF!,2,FALSE)))))</f>
        <v/>
      </c>
      <c r="AP185" s="217"/>
      <c r="AQ185" s="218"/>
      <c r="AR185" s="220" t="str">
        <f t="shared" ca="1" si="83"/>
        <v/>
      </c>
      <c r="AS185" s="229"/>
      <c r="AT185" s="231"/>
      <c r="AU185" s="194"/>
      <c r="AV185" s="217"/>
      <c r="AW185" s="218"/>
      <c r="AX185" s="220" t="str">
        <f t="shared" ca="1" si="84"/>
        <v/>
      </c>
      <c r="AY185" s="195"/>
      <c r="AZ185" s="196"/>
      <c r="BA185" s="209" t="str">
        <f>IF(AND(OR(AY185="",AY185=0),OR(AY185="",AZ185=0)),"",IF(OR(AY185="",AY185=0),"DEFINIR PREÇO",IF(OR(AZ185="",AZ185=0),"DEFINIR FORNECEDOR",IF(OR(AY185&lt;&gt;"",AY185&lt;&gt;0),VLOOKUP(AZ185,#REF!,2,FALSE)))))</f>
        <v/>
      </c>
      <c r="BB185" s="194"/>
      <c r="BC185" s="194"/>
      <c r="BD185" s="220" t="str">
        <f t="shared" ca="1" si="85"/>
        <v/>
      </c>
      <c r="BE185" s="195"/>
      <c r="BF185" s="196"/>
      <c r="BG185" s="194"/>
      <c r="BH185" s="194"/>
      <c r="BI185" s="194"/>
      <c r="BJ185" s="197"/>
    </row>
    <row r="186" spans="1:62" ht="41.25" customHeight="1" x14ac:dyDescent="0.25">
      <c r="A186" s="44" t="s">
        <v>405</v>
      </c>
      <c r="B186" s="58" t="s">
        <v>1358</v>
      </c>
      <c r="C186" s="45">
        <v>1</v>
      </c>
      <c r="D186" s="179" t="s">
        <v>1362</v>
      </c>
      <c r="E186" s="45" t="s">
        <v>89</v>
      </c>
      <c r="F186" s="46" t="str">
        <f>J186</f>
        <v>DEFINIR CRITÉRIO</v>
      </c>
      <c r="G186" s="47" t="str">
        <f>J186</f>
        <v>DEFINIR CRITÉRIO</v>
      </c>
      <c r="H186" s="240" t="s">
        <v>2000</v>
      </c>
      <c r="I186" s="240" t="s">
        <v>2001</v>
      </c>
      <c r="J186" s="242" t="str">
        <f>IFERROR(IF(N186&lt;&gt;"",M186,IF(I186 = PARÂMETROS!$B$5,Q186, IF(I186 = PARÂMETROS!$B$6,R186,IF(I186 = PARÂMETROS!$B$7,S186,IF(I186 = PARÂMETROS!$B$8, T186,"DEFINIR CRITÉRIO"))))),"SEM PREÇO")</f>
        <v>DEFINIR CRITÉRIO</v>
      </c>
      <c r="K186" s="241" t="str">
        <f t="shared" si="74"/>
        <v/>
      </c>
      <c r="L186" s="238" t="str">
        <f t="shared" si="75"/>
        <v/>
      </c>
      <c r="M186" s="51"/>
      <c r="N186" s="52"/>
      <c r="O186" s="53"/>
      <c r="P186" s="235">
        <f t="shared" si="76"/>
        <v>180</v>
      </c>
      <c r="Q186" s="236">
        <f t="shared" si="77"/>
        <v>0</v>
      </c>
      <c r="R186" s="236">
        <f t="shared" si="78"/>
        <v>0</v>
      </c>
      <c r="S186" s="236">
        <f t="shared" si="79"/>
        <v>0</v>
      </c>
      <c r="T186" s="236">
        <f t="shared" si="80"/>
        <v>0</v>
      </c>
      <c r="U186" s="237" t="e">
        <f>IF(AA186 = "", "", IF(OR($H186 = PARÂMETROS!$E$5, $H186 = ""), AA186, IF(OR(AA186 &lt; (1-VLOOKUP($H186,PARÂMETROS!$E:$F,2,FALSE))*$P186, AA186 &gt; (1+VLOOKUP($H186,PARÂMETROS!$E:$F,2,FALSE))*$P186),"",AA186)))</f>
        <v>#N/A</v>
      </c>
      <c r="V186" s="237" t="str">
        <f>IF(AG186 = "", "", IF(OR($H186 = PARÂMETROS!$E$5, $H186 = ""), AG186, IF(OR(AG186 &lt; (1-VLOOKUP($H186,PARÂMETROS!$E:$F,2,FALSE))*$P191, AG186 &gt; (1+VLOOKUP($H186,PARÂMETROS!$E:$F,2,FALSE))*$P186),"",AG186)))</f>
        <v/>
      </c>
      <c r="W186" s="237" t="str">
        <f>IF(AM186 = "", "", IF(OR($H186 = PARÂMETROS!$E$5, $H186 = ""), AM186, IF(OR(AM186 &lt; (1-VLOOKUP($H186,PARÂMETROS!$E:$F,2,FALSE))*$P186, AM186 &gt; (1+VLOOKUP($H186,PARÂMETROS!$E:$F,2,FALSE))*$P186),"",AM186)))</f>
        <v/>
      </c>
      <c r="X186" s="237" t="str">
        <f>IF(AS186 = "", "", IF(OR($H186 = PARÂMETROS!$E$5, $H186 = ""), AS186, IF(OR(AS186 &lt; (1-VLOOKUP($H186,PARÂMETROS!$E:$F,2,FALSE))*$P186, AS186 &gt; (1+VLOOKUP($H186,PARÂMETROS!$E:$F,2,FALSE))*$P186),"",AS186)))</f>
        <v/>
      </c>
      <c r="Y186" s="237" t="str">
        <f>IF(AY186 = "", "", IF(OR($H186 = PARÂMETROS!$E$5, $H186 = ""), AY186, IF(OR(AY186 &lt; (1-VLOOKUP($H186,PARÂMETROS!$E:$F,2,FALSE))*$P186, AY186 &gt; (1+VLOOKUP($H186,PARÂMETROS!$E:$F,2,FALSE))*$P186),"",AY186)))</f>
        <v/>
      </c>
      <c r="Z186" s="237" t="str">
        <f>IF(BE186 = "", "", IF(OR($H186 = PARÂMETROS!$E$5, $H186 = ""), BE186, IF(OR(BE186 &lt; (1-VLOOKUP($H186,PARÂMETROS!$E:$F,2,FALSE))*$P186, BE186 &gt; (1+VLOOKUP($H186,PARÂMETROS!$E:$F,2,FALSE))*$P186),"",BE186)))</f>
        <v/>
      </c>
      <c r="AA186" s="49">
        <v>180</v>
      </c>
      <c r="AB186" s="50">
        <v>1100</v>
      </c>
      <c r="AC186" s="206" t="e">
        <f>IF(AND(OR(AA186="",AA186=0),OR(AA186="",AB186=0)),"",IF(OR(AA186="",AA186=0),"DEFINIR PREÇO",IF(OR(AB186="",AB186=0),"DEFINIR FORNECEDOR",IF(OR(AA186&lt;&gt;"",AA186&lt;&gt;0),VLOOKUP(AB186,#REF!,2,FALSE)))))</f>
        <v>#REF!</v>
      </c>
      <c r="AD186" s="217"/>
      <c r="AE186" s="218">
        <v>44775</v>
      </c>
      <c r="AF186" s="220" t="str">
        <f t="shared" ca="1" si="81"/>
        <v>DESATUALIZADA</v>
      </c>
      <c r="AG186" s="49"/>
      <c r="AH186" s="50"/>
      <c r="AI186" s="206"/>
      <c r="AJ186" s="217"/>
      <c r="AK186" s="218"/>
      <c r="AL186" s="220" t="str">
        <f t="shared" ca="1" si="82"/>
        <v/>
      </c>
      <c r="AM186" s="229"/>
      <c r="AN186" s="231"/>
      <c r="AO186" s="206" t="str">
        <f>IF(AND(OR(AM186="",AM186=0),OR(AM186="",AN186=0)),"",IF(OR(AM186="",AM186=0),"DEFINIR PREÇO",IF(OR(AN186="",AN186=0),"DEFINIR FORNECEDOR",IF(OR(AM186&lt;&gt;"",AM186&lt;&gt;0),VLOOKUP(AN186,#REF!,2,FALSE)))))</f>
        <v/>
      </c>
      <c r="AP186" s="217"/>
      <c r="AQ186" s="218"/>
      <c r="AR186" s="220" t="str">
        <f t="shared" ca="1" si="83"/>
        <v/>
      </c>
      <c r="AS186" s="229"/>
      <c r="AT186" s="231"/>
      <c r="AU186" s="194"/>
      <c r="AV186" s="217"/>
      <c r="AW186" s="218"/>
      <c r="AX186" s="220" t="str">
        <f t="shared" ca="1" si="84"/>
        <v/>
      </c>
      <c r="AY186" s="195"/>
      <c r="AZ186" s="196"/>
      <c r="BA186" s="209" t="str">
        <f>IF(AND(OR(AY186="",AY186=0),OR(AY186="",AZ186=0)),"",IF(OR(AY186="",AY186=0),"DEFINIR PREÇO",IF(OR(AZ186="",AZ186=0),"DEFINIR FORNECEDOR",IF(OR(AY186&lt;&gt;"",AY186&lt;&gt;0),VLOOKUP(AZ186,#REF!,2,FALSE)))))</f>
        <v/>
      </c>
      <c r="BB186" s="194"/>
      <c r="BC186" s="194"/>
      <c r="BD186" s="220" t="str">
        <f t="shared" ca="1" si="85"/>
        <v/>
      </c>
      <c r="BE186" s="195"/>
      <c r="BF186" s="196"/>
      <c r="BG186" s="194"/>
      <c r="BH186" s="194"/>
      <c r="BI186" s="194"/>
      <c r="BJ186" s="197"/>
    </row>
    <row r="187" spans="1:62" x14ac:dyDescent="0.25">
      <c r="A187" s="44" t="s">
        <v>405</v>
      </c>
      <c r="B187" s="58" t="s">
        <v>117</v>
      </c>
      <c r="C187" s="45">
        <v>1</v>
      </c>
      <c r="D187" s="55" t="s">
        <v>109</v>
      </c>
      <c r="E187" s="45" t="s">
        <v>21</v>
      </c>
      <c r="F187" s="46" t="e">
        <f>VLOOKUP(N187,#REF!,4,FALSE)</f>
        <v>#REF!</v>
      </c>
      <c r="G187" s="47" t="e">
        <f>VLOOKUP(N187,#REF!,5,FALSE)</f>
        <v>#REF!</v>
      </c>
      <c r="H187" s="240" t="s">
        <v>2000</v>
      </c>
      <c r="I187" s="240" t="s">
        <v>2001</v>
      </c>
      <c r="J187" s="242" t="str">
        <f>IFERROR(IF(N187&lt;&gt;"",M187,IF(I187 = PARÂMETROS!$B$5,Q187, IF(I187 = PARÂMETROS!$B$6,R187,IF(I187 = PARÂMETROS!$B$7,S187,IF(I187 = PARÂMETROS!$B$8, T187,"DEFINIR CRITÉRIO"))))),"SEM PREÇO")</f>
        <v>SEM PREÇO</v>
      </c>
      <c r="K187" s="241">
        <f t="shared" si="74"/>
        <v>0</v>
      </c>
      <c r="L187" s="238" t="str">
        <f t="shared" si="75"/>
        <v/>
      </c>
      <c r="M187" s="180" t="e">
        <f>F187</f>
        <v>#REF!</v>
      </c>
      <c r="N187" s="52" t="s">
        <v>1270</v>
      </c>
      <c r="O187" s="53" t="s">
        <v>422</v>
      </c>
      <c r="P187" s="235">
        <f t="shared" si="76"/>
        <v>0</v>
      </c>
      <c r="Q187" s="236">
        <f t="shared" si="77"/>
        <v>0</v>
      </c>
      <c r="R187" s="236">
        <f t="shared" si="78"/>
        <v>0</v>
      </c>
      <c r="S187" s="236">
        <f t="shared" si="79"/>
        <v>0</v>
      </c>
      <c r="T187" s="236">
        <f t="shared" si="80"/>
        <v>0</v>
      </c>
      <c r="U187" s="237" t="str">
        <f>IF(AA187 = "", "", IF(OR($H187 = PARÂMETROS!$E$5, $H187 = ""), AA187, IF(OR(AA187 &lt; (1-VLOOKUP($H187,PARÂMETROS!$E:$F,2,FALSE))*$P187, AA187 &gt; (1+VLOOKUP($H187,PARÂMETROS!$E:$F,2,FALSE))*$P187),"",AA187)))</f>
        <v/>
      </c>
      <c r="V187" s="237" t="str">
        <f>IF(AG187 = "", "", IF(OR($H187 = PARÂMETROS!$E$5, $H187 = ""), AG187, IF(OR(AG187 &lt; (1-VLOOKUP($H187,PARÂMETROS!$E:$F,2,FALSE))*$P192, AG187 &gt; (1+VLOOKUP($H187,PARÂMETROS!$E:$F,2,FALSE))*$P187),"",AG187)))</f>
        <v/>
      </c>
      <c r="W187" s="237" t="str">
        <f>IF(AM187 = "", "", IF(OR($H187 = PARÂMETROS!$E$5, $H187 = ""), AM187, IF(OR(AM187 &lt; (1-VLOOKUP($H187,PARÂMETROS!$E:$F,2,FALSE))*$P187, AM187 &gt; (1+VLOOKUP($H187,PARÂMETROS!$E:$F,2,FALSE))*$P187),"",AM187)))</f>
        <v/>
      </c>
      <c r="X187" s="237" t="str">
        <f>IF(AS187 = "", "", IF(OR($H187 = PARÂMETROS!$E$5, $H187 = ""), AS187, IF(OR(AS187 &lt; (1-VLOOKUP($H187,PARÂMETROS!$E:$F,2,FALSE))*$P187, AS187 &gt; (1+VLOOKUP($H187,PARÂMETROS!$E:$F,2,FALSE))*$P187),"",AS187)))</f>
        <v/>
      </c>
      <c r="Y187" s="237" t="str">
        <f>IF(AY187 = "", "", IF(OR($H187 = PARÂMETROS!$E$5, $H187 = ""), AY187, IF(OR(AY187 &lt; (1-VLOOKUP($H187,PARÂMETROS!$E:$F,2,FALSE))*$P187, AY187 &gt; (1+VLOOKUP($H187,PARÂMETROS!$E:$F,2,FALSE))*$P187),"",AY187)))</f>
        <v/>
      </c>
      <c r="Z187" s="237" t="str">
        <f>IF(BE187 = "", "", IF(OR($H187 = PARÂMETROS!$E$5, $H187 = ""), BE187, IF(OR(BE187 &lt; (1-VLOOKUP($H187,PARÂMETROS!$E:$F,2,FALSE))*$P187, BE187 &gt; (1+VLOOKUP($H187,PARÂMETROS!$E:$F,2,FALSE))*$P187),"",BE187)))</f>
        <v/>
      </c>
      <c r="AA187" s="207"/>
      <c r="AB187" s="208"/>
      <c r="AC187" s="206" t="str">
        <f>IF(AND(OR(AA187="",AA187=0),OR(AA187="",AB187=0)),"",IF(OR(AA187="",AA187=0),"DEFINIR PREÇO",IF(OR(AB187="",AB187=0),"DEFINIR FORNECEDOR",IF(OR(AA187&lt;&gt;"",AA187&lt;&gt;0),VLOOKUP(AB187,#REF!,2,FALSE)))))</f>
        <v/>
      </c>
      <c r="AD187" s="217"/>
      <c r="AE187" s="218"/>
      <c r="AF187" s="220" t="str">
        <f t="shared" ca="1" si="81"/>
        <v/>
      </c>
      <c r="AG187" s="229"/>
      <c r="AH187" s="231"/>
      <c r="AI187" s="206" t="str">
        <f>IF(AND(OR(AG187="",AG187=0),OR(AG187="",AH187=0)),"",IF(OR(AG187="",AG187=0),"DEFINIR PREÇO",IF(OR(AH187="",AH187=0),"DEFINIR FORNECEDOR",IF(OR(AG187&lt;&gt;"",AG187&lt;&gt;0),VLOOKUP(AH187,#REF!,2,FALSE)))))</f>
        <v/>
      </c>
      <c r="AJ187" s="217"/>
      <c r="AK187" s="218"/>
      <c r="AL187" s="220" t="str">
        <f t="shared" ca="1" si="82"/>
        <v/>
      </c>
      <c r="AM187" s="229"/>
      <c r="AN187" s="231"/>
      <c r="AO187" s="206" t="str">
        <f>IF(AND(OR(AM187="",AM187=0),OR(AM187="",AN187=0)),"",IF(OR(AM187="",AM187=0),"DEFINIR PREÇO",IF(OR(AN187="",AN187=0),"DEFINIR FORNECEDOR",IF(OR(AM187&lt;&gt;"",AM187&lt;&gt;0),VLOOKUP(AN187,#REF!,2,FALSE)))))</f>
        <v/>
      </c>
      <c r="AP187" s="217"/>
      <c r="AQ187" s="218"/>
      <c r="AR187" s="220" t="str">
        <f t="shared" ca="1" si="83"/>
        <v/>
      </c>
      <c r="AS187" s="229"/>
      <c r="AT187" s="231"/>
      <c r="AU187" s="194"/>
      <c r="AV187" s="217"/>
      <c r="AW187" s="218"/>
      <c r="AX187" s="220" t="str">
        <f t="shared" ca="1" si="84"/>
        <v/>
      </c>
      <c r="AY187" s="195"/>
      <c r="AZ187" s="196"/>
      <c r="BA187" s="209" t="str">
        <f>IF(AND(OR(AY187="",AY187=0),OR(AY187="",AZ187=0)),"",IF(OR(AY187="",AY187=0),"DEFINIR PREÇO",IF(OR(AZ187="",AZ187=0),"DEFINIR FORNECEDOR",IF(OR(AY187&lt;&gt;"",AY187&lt;&gt;0),VLOOKUP(AZ187,#REF!,2,FALSE)))))</f>
        <v/>
      </c>
      <c r="BB187" s="194"/>
      <c r="BC187" s="194"/>
      <c r="BD187" s="220" t="str">
        <f t="shared" ca="1" si="85"/>
        <v/>
      </c>
      <c r="BE187" s="195"/>
      <c r="BF187" s="196"/>
      <c r="BG187" s="194"/>
      <c r="BH187" s="194"/>
      <c r="BI187" s="194"/>
      <c r="BJ187" s="197"/>
    </row>
    <row r="188" spans="1:62" x14ac:dyDescent="0.25">
      <c r="A188" s="44" t="s">
        <v>405</v>
      </c>
      <c r="B188" s="58" t="s">
        <v>118</v>
      </c>
      <c r="C188" s="45">
        <v>1</v>
      </c>
      <c r="D188" s="55" t="s">
        <v>110</v>
      </c>
      <c r="E188" s="45" t="s">
        <v>21</v>
      </c>
      <c r="F188" s="46" t="e">
        <f>VLOOKUP(B188,#REF!,7,FALSE)</f>
        <v>#REF!</v>
      </c>
      <c r="G188" s="47" t="e">
        <f>VLOOKUP(B188,#REF!,9,FALSE)</f>
        <v>#REF!</v>
      </c>
      <c r="H188" s="240" t="s">
        <v>2000</v>
      </c>
      <c r="I188" s="240" t="s">
        <v>2001</v>
      </c>
      <c r="J188" s="242" t="str">
        <f>IFERROR(IF(N188&lt;&gt;"",M188,IF(I188 = PARÂMETROS!$B$5,Q188, IF(I188 = PARÂMETROS!$B$6,R188,IF(I188 = PARÂMETROS!$B$7,S188,IF(I188 = PARÂMETROS!$B$8, T188,"DEFINIR CRITÉRIO"))))),"SEM PREÇO")</f>
        <v>SEM PREÇO</v>
      </c>
      <c r="K188" s="241">
        <f t="shared" si="74"/>
        <v>0</v>
      </c>
      <c r="L188" s="238" t="str">
        <f t="shared" si="75"/>
        <v/>
      </c>
      <c r="M188" s="180" t="e">
        <f>F188</f>
        <v>#REF!</v>
      </c>
      <c r="N188" s="52" t="s">
        <v>425</v>
      </c>
      <c r="O188" s="53" t="s">
        <v>1264</v>
      </c>
      <c r="P188" s="235">
        <f t="shared" si="76"/>
        <v>0</v>
      </c>
      <c r="Q188" s="236">
        <f t="shared" si="77"/>
        <v>0</v>
      </c>
      <c r="R188" s="236">
        <f t="shared" si="78"/>
        <v>0</v>
      </c>
      <c r="S188" s="236">
        <f t="shared" si="79"/>
        <v>0</v>
      </c>
      <c r="T188" s="236">
        <f t="shared" si="80"/>
        <v>0</v>
      </c>
      <c r="U188" s="237" t="str">
        <f>IF(AA188 = "", "", IF(OR($H188 = PARÂMETROS!$E$5, $H188 = ""), AA188, IF(OR(AA188 &lt; (1-VLOOKUP($H188,PARÂMETROS!$E:$F,2,FALSE))*$P188, AA188 &gt; (1+VLOOKUP($H188,PARÂMETROS!$E:$F,2,FALSE))*$P188),"",AA188)))</f>
        <v/>
      </c>
      <c r="V188" s="237" t="str">
        <f>IF(AG188 = "", "", IF(OR($H188 = PARÂMETROS!$E$5, $H188 = ""), AG188, IF(OR(AG188 &lt; (1-VLOOKUP($H188,PARÂMETROS!$E:$F,2,FALSE))*$P193, AG188 &gt; (1+VLOOKUP($H188,PARÂMETROS!$E:$F,2,FALSE))*$P188),"",AG188)))</f>
        <v/>
      </c>
      <c r="W188" s="237" t="str">
        <f>IF(AM188 = "", "", IF(OR($H188 = PARÂMETROS!$E$5, $H188 = ""), AM188, IF(OR(AM188 &lt; (1-VLOOKUP($H188,PARÂMETROS!$E:$F,2,FALSE))*$P188, AM188 &gt; (1+VLOOKUP($H188,PARÂMETROS!$E:$F,2,FALSE))*$P188),"",AM188)))</f>
        <v/>
      </c>
      <c r="X188" s="237" t="str">
        <f>IF(AS188 = "", "", IF(OR($H188 = PARÂMETROS!$E$5, $H188 = ""), AS188, IF(OR(AS188 &lt; (1-VLOOKUP($H188,PARÂMETROS!$E:$F,2,FALSE))*$P188, AS188 &gt; (1+VLOOKUP($H188,PARÂMETROS!$E:$F,2,FALSE))*$P188),"",AS188)))</f>
        <v/>
      </c>
      <c r="Y188" s="237" t="str">
        <f>IF(AY188 = "", "", IF(OR($H188 = PARÂMETROS!$E$5, $H188 = ""), AY188, IF(OR(AY188 &lt; (1-VLOOKUP($H188,PARÂMETROS!$E:$F,2,FALSE))*$P188, AY188 &gt; (1+VLOOKUP($H188,PARÂMETROS!$E:$F,2,FALSE))*$P188),"",AY188)))</f>
        <v/>
      </c>
      <c r="Z188" s="237" t="str">
        <f>IF(BE188 = "", "", IF(OR($H188 = PARÂMETROS!$E$5, $H188 = ""), BE188, IF(OR(BE188 &lt; (1-VLOOKUP($H188,PARÂMETROS!$E:$F,2,FALSE))*$P188, BE188 &gt; (1+VLOOKUP($H188,PARÂMETROS!$E:$F,2,FALSE))*$P188),"",BE188)))</f>
        <v/>
      </c>
      <c r="AA188" s="207"/>
      <c r="AB188" s="208"/>
      <c r="AC188" s="206" t="str">
        <f>IF(AND(OR(AA188="",AA188=0),OR(AA188="",AB188=0)),"",IF(OR(AA188="",AA188=0),"DEFINIR PREÇO",IF(OR(AB188="",AB188=0),"DEFINIR FORNECEDOR",IF(OR(AA188&lt;&gt;"",AA188&lt;&gt;0),VLOOKUP(AB188,#REF!,2,FALSE)))))</f>
        <v/>
      </c>
      <c r="AD188" s="217"/>
      <c r="AE188" s="218"/>
      <c r="AF188" s="220" t="str">
        <f t="shared" ca="1" si="81"/>
        <v/>
      </c>
      <c r="AG188" s="229"/>
      <c r="AH188" s="231"/>
      <c r="AI188" s="206" t="str">
        <f>IF(AND(OR(AG188="",AG188=0),OR(AG188="",AH188=0)),"",IF(OR(AG188="",AG188=0),"DEFINIR PREÇO",IF(OR(AH188="",AH188=0),"DEFINIR FORNECEDOR",IF(OR(AG188&lt;&gt;"",AG188&lt;&gt;0),VLOOKUP(AH188,#REF!,2,FALSE)))))</f>
        <v/>
      </c>
      <c r="AJ188" s="217"/>
      <c r="AK188" s="218"/>
      <c r="AL188" s="220" t="str">
        <f t="shared" ca="1" si="82"/>
        <v/>
      </c>
      <c r="AM188" s="229"/>
      <c r="AN188" s="231"/>
      <c r="AO188" s="206" t="str">
        <f>IF(AND(OR(AM188="",AM188=0),OR(AM188="",AN188=0)),"",IF(OR(AM188="",AM188=0),"DEFINIR PREÇO",IF(OR(AN188="",AN188=0),"DEFINIR FORNECEDOR",IF(OR(AM188&lt;&gt;"",AM188&lt;&gt;0),VLOOKUP(AN188,#REF!,2,FALSE)))))</f>
        <v/>
      </c>
      <c r="AP188" s="217"/>
      <c r="AQ188" s="218"/>
      <c r="AR188" s="220" t="str">
        <f t="shared" ca="1" si="83"/>
        <v/>
      </c>
      <c r="AS188" s="229"/>
      <c r="AT188" s="231"/>
      <c r="AU188" s="194"/>
      <c r="AV188" s="217"/>
      <c r="AW188" s="218"/>
      <c r="AX188" s="220" t="str">
        <f t="shared" ca="1" si="84"/>
        <v/>
      </c>
      <c r="AY188" s="195"/>
      <c r="AZ188" s="196"/>
      <c r="BA188" s="209" t="str">
        <f>IF(AND(OR(AY188="",AY188=0),OR(AY188="",AZ188=0)),"",IF(OR(AY188="",AY188=0),"DEFINIR PREÇO",IF(OR(AZ188="",AZ188=0),"DEFINIR FORNECEDOR",IF(OR(AY188&lt;&gt;"",AY188&lt;&gt;0),VLOOKUP(AZ188,#REF!,2,FALSE)))))</f>
        <v/>
      </c>
      <c r="BB188" s="194"/>
      <c r="BC188" s="194"/>
      <c r="BD188" s="220" t="str">
        <f t="shared" ca="1" si="85"/>
        <v/>
      </c>
      <c r="BE188" s="195"/>
      <c r="BF188" s="196"/>
      <c r="BG188" s="194"/>
      <c r="BH188" s="194"/>
      <c r="BI188" s="194"/>
      <c r="BJ188" s="197"/>
    </row>
    <row r="189" spans="1:62" x14ac:dyDescent="0.25">
      <c r="A189" s="44" t="s">
        <v>405</v>
      </c>
      <c r="B189" s="58" t="s">
        <v>312</v>
      </c>
      <c r="C189" s="45">
        <v>1</v>
      </c>
      <c r="D189" s="63" t="s">
        <v>265</v>
      </c>
      <c r="E189" s="59" t="s">
        <v>26</v>
      </c>
      <c r="F189" s="46" t="e">
        <f>VLOOKUP(B189,#REF!,4,FALSE)</f>
        <v>#REF!</v>
      </c>
      <c r="G189" s="47" t="e">
        <f>VLOOKUP(B189,#REF!,4,FALSE)</f>
        <v>#REF!</v>
      </c>
      <c r="H189" s="240" t="s">
        <v>2000</v>
      </c>
      <c r="I189" s="240" t="s">
        <v>2001</v>
      </c>
      <c r="J189" s="48">
        <f>SUM(J190:J193)</f>
        <v>0</v>
      </c>
      <c r="K189" s="241">
        <f t="shared" si="74"/>
        <v>0</v>
      </c>
      <c r="L189" s="238" t="str">
        <f t="shared" si="75"/>
        <v/>
      </c>
      <c r="M189" s="51"/>
      <c r="N189" s="52"/>
      <c r="O189" s="53" t="s">
        <v>26</v>
      </c>
      <c r="P189" s="235">
        <f t="shared" si="76"/>
        <v>0</v>
      </c>
      <c r="Q189" s="236">
        <f t="shared" si="77"/>
        <v>0</v>
      </c>
      <c r="R189" s="236">
        <f t="shared" si="78"/>
        <v>0</v>
      </c>
      <c r="S189" s="236">
        <f t="shared" si="79"/>
        <v>0</v>
      </c>
      <c r="T189" s="236">
        <f t="shared" si="80"/>
        <v>0</v>
      </c>
      <c r="U189" s="237" t="str">
        <f>IF(AA189 = "", "", IF(OR($H189 = PARÂMETROS!$E$5, $H189 = ""), AA189, IF(OR(AA189 &lt; (1-VLOOKUP($H189,PARÂMETROS!$E:$F,2,FALSE))*$P189, AA189 &gt; (1+VLOOKUP($H189,PARÂMETROS!$E:$F,2,FALSE))*$P189),"",AA189)))</f>
        <v/>
      </c>
      <c r="V189" s="237" t="str">
        <f>IF(AG189 = "", "", IF(OR($H189 = PARÂMETROS!$E$5, $H189 = ""), AG189, IF(OR(AG189 &lt; (1-VLOOKUP($H189,PARÂMETROS!$E:$F,2,FALSE))*$P194, AG189 &gt; (1+VLOOKUP($H189,PARÂMETROS!$E:$F,2,FALSE))*$P189),"",AG189)))</f>
        <v/>
      </c>
      <c r="W189" s="237" t="str">
        <f>IF(AM189 = "", "", IF(OR($H189 = PARÂMETROS!$E$5, $H189 = ""), AM189, IF(OR(AM189 &lt; (1-VLOOKUP($H189,PARÂMETROS!$E:$F,2,FALSE))*$P189, AM189 &gt; (1+VLOOKUP($H189,PARÂMETROS!$E:$F,2,FALSE))*$P189),"",AM189)))</f>
        <v/>
      </c>
      <c r="X189" s="237" t="str">
        <f>IF(AS189 = "", "", IF(OR($H189 = PARÂMETROS!$E$5, $H189 = ""), AS189, IF(OR(AS189 &lt; (1-VLOOKUP($H189,PARÂMETROS!$E:$F,2,FALSE))*$P189, AS189 &gt; (1+VLOOKUP($H189,PARÂMETROS!$E:$F,2,FALSE))*$P189),"",AS189)))</f>
        <v/>
      </c>
      <c r="Y189" s="237" t="str">
        <f>IF(AY189 = "", "", IF(OR($H189 = PARÂMETROS!$E$5, $H189 = ""), AY189, IF(OR(AY189 &lt; (1-VLOOKUP($H189,PARÂMETROS!$E:$F,2,FALSE))*$P189, AY189 &gt; (1+VLOOKUP($H189,PARÂMETROS!$E:$F,2,FALSE))*$P189),"",AY189)))</f>
        <v/>
      </c>
      <c r="Z189" s="237" t="str">
        <f>IF(BE189 = "", "", IF(OR($H189 = PARÂMETROS!$E$5, $H189 = ""), BE189, IF(OR(BE189 &lt; (1-VLOOKUP($H189,PARÂMETROS!$E:$F,2,FALSE))*$P189, BE189 &gt; (1+VLOOKUP($H189,PARÂMETROS!$E:$F,2,FALSE))*$P189),"",BE189)))</f>
        <v/>
      </c>
      <c r="AA189" s="207"/>
      <c r="AB189" s="208"/>
      <c r="AC189" s="206" t="str">
        <f>IF(AND(OR(AA189="",AA189=0),OR(AA189="",AB189=0)),"",IF(OR(AA189="",AA189=0),"DEFINIR PREÇO",IF(OR(AB189="",AB189=0),"DEFINIR FORNECEDOR",IF(OR(AA189&lt;&gt;"",AA189&lt;&gt;0),VLOOKUP(AB189,#REF!,2,FALSE)))))</f>
        <v/>
      </c>
      <c r="AD189" s="217"/>
      <c r="AE189" s="218"/>
      <c r="AF189" s="220" t="str">
        <f t="shared" ca="1" si="81"/>
        <v/>
      </c>
      <c r="AG189" s="229"/>
      <c r="AH189" s="231"/>
      <c r="AI189" s="206" t="str">
        <f>IF(AND(OR(AG189="",AG189=0),OR(AG189="",AH189=0)),"",IF(OR(AG189="",AG189=0),"DEFINIR PREÇO",IF(OR(AH189="",AH189=0),"DEFINIR FORNECEDOR",IF(OR(AG189&lt;&gt;"",AG189&lt;&gt;0),VLOOKUP(AH189,#REF!,2,FALSE)))))</f>
        <v/>
      </c>
      <c r="AJ189" s="217"/>
      <c r="AK189" s="218"/>
      <c r="AL189" s="220" t="str">
        <f t="shared" ca="1" si="82"/>
        <v/>
      </c>
      <c r="AM189" s="229"/>
      <c r="AN189" s="231"/>
      <c r="AO189" s="206" t="str">
        <f>IF(AND(OR(AM189="",AM189=0),OR(AM189="",AN189=0)),"",IF(OR(AM189="",AM189=0),"DEFINIR PREÇO",IF(OR(AN189="",AN189=0),"DEFINIR FORNECEDOR",IF(OR(AM189&lt;&gt;"",AM189&lt;&gt;0),VLOOKUP(AN189,#REF!,2,FALSE)))))</f>
        <v/>
      </c>
      <c r="AP189" s="217"/>
      <c r="AQ189" s="218"/>
      <c r="AR189" s="220" t="str">
        <f t="shared" ca="1" si="83"/>
        <v/>
      </c>
      <c r="AS189" s="229"/>
      <c r="AT189" s="231"/>
      <c r="AU189" s="194"/>
      <c r="AV189" s="217"/>
      <c r="AW189" s="218"/>
      <c r="AX189" s="220" t="str">
        <f t="shared" ca="1" si="84"/>
        <v/>
      </c>
      <c r="AY189" s="195"/>
      <c r="AZ189" s="196"/>
      <c r="BA189" s="209" t="str">
        <f>IF(AND(OR(AY189="",AY189=0),OR(AY189="",AZ189=0)),"",IF(OR(AY189="",AY189=0),"DEFINIR PREÇO",IF(OR(AZ189="",AZ189=0),"DEFINIR FORNECEDOR",IF(OR(AY189&lt;&gt;"",AY189&lt;&gt;0),VLOOKUP(AZ189,#REF!,2,FALSE)))))</f>
        <v/>
      </c>
      <c r="BB189" s="194"/>
      <c r="BC189" s="194"/>
      <c r="BD189" s="220" t="str">
        <f t="shared" ca="1" si="85"/>
        <v/>
      </c>
      <c r="BE189" s="195"/>
      <c r="BF189" s="196"/>
      <c r="BG189" s="194"/>
      <c r="BH189" s="194"/>
      <c r="BI189" s="194"/>
      <c r="BJ189" s="197"/>
    </row>
    <row r="190" spans="1:62" ht="30" x14ac:dyDescent="0.25">
      <c r="A190" s="44" t="s">
        <v>405</v>
      </c>
      <c r="B190" s="58"/>
      <c r="C190" s="45"/>
      <c r="D190" s="55" t="s">
        <v>1044</v>
      </c>
      <c r="E190" s="59"/>
      <c r="F190" s="46"/>
      <c r="G190" s="47"/>
      <c r="H190" s="240" t="s">
        <v>2000</v>
      </c>
      <c r="I190" s="240" t="s">
        <v>2002</v>
      </c>
      <c r="J190" s="242" t="str">
        <f>IFERROR(IF(N190&lt;&gt;"",M190,IF(I190 = PARÂMETROS!$B$5,Q190, IF(I190 = PARÂMETROS!$B$6,R190,IF(I190 = PARÂMETROS!$B$7,S190,IF(I190 = PARÂMETROS!$B$8, T190,"DEFINIR CRITÉRIO"))))),"SEM PREÇO")</f>
        <v>DEFINIR CRITÉRIO</v>
      </c>
      <c r="K190" s="241" t="str">
        <f t="shared" si="74"/>
        <v/>
      </c>
      <c r="L190" s="238" t="str">
        <f t="shared" si="75"/>
        <v/>
      </c>
      <c r="M190" s="51"/>
      <c r="N190" s="52"/>
      <c r="O190" s="53"/>
      <c r="P190" s="235">
        <f t="shared" si="76"/>
        <v>14920</v>
      </c>
      <c r="Q190" s="236">
        <f t="shared" si="77"/>
        <v>0</v>
      </c>
      <c r="R190" s="236">
        <f t="shared" si="78"/>
        <v>0</v>
      </c>
      <c r="S190" s="236">
        <f t="shared" si="79"/>
        <v>0</v>
      </c>
      <c r="T190" s="236">
        <f t="shared" si="80"/>
        <v>0</v>
      </c>
      <c r="U190" s="237" t="e">
        <f>IF(AA190 = "", "", IF(OR($H190 = PARÂMETROS!$E$5, $H190 = ""), AA190, IF(OR(AA190 &lt; (1-VLOOKUP($H190,PARÂMETROS!$E:$F,2,FALSE))*$P190, AA190 &gt; (1+VLOOKUP($H190,PARÂMETROS!$E:$F,2,FALSE))*$P190),"",AA190)))</f>
        <v>#N/A</v>
      </c>
      <c r="V190" s="237" t="e">
        <f>IF(AG190 = "", "", IF(OR($H190 = PARÂMETROS!$E$5, $H190 = ""), AG190, IF(OR(AG190 &lt; (1-VLOOKUP($H190,PARÂMETROS!$E:$F,2,FALSE))*$P195, AG190 &gt; (1+VLOOKUP($H190,PARÂMETROS!$E:$F,2,FALSE))*$P190),"",AG190)))</f>
        <v>#N/A</v>
      </c>
      <c r="W190" s="237" t="e">
        <f>IF(AM190 = "", "", IF(OR($H190 = PARÂMETROS!$E$5, $H190 = ""), AM190, IF(OR(AM190 &lt; (1-VLOOKUP($H190,PARÂMETROS!$E:$F,2,FALSE))*$P190, AM190 &gt; (1+VLOOKUP($H190,PARÂMETROS!$E:$F,2,FALSE))*$P190),"",AM190)))</f>
        <v>#N/A</v>
      </c>
      <c r="X190" s="237" t="str">
        <f>IF(AS190 = "", "", IF(OR($H190 = PARÂMETROS!$E$5, $H190 = ""), AS190, IF(OR(AS190 &lt; (1-VLOOKUP($H190,PARÂMETROS!$E:$F,2,FALSE))*$P190, AS190 &gt; (1+VLOOKUP($H190,PARÂMETROS!$E:$F,2,FALSE))*$P190),"",AS190)))</f>
        <v/>
      </c>
      <c r="Y190" s="237" t="str">
        <f>IF(AY190 = "", "", IF(OR($H190 = PARÂMETROS!$E$5, $H190 = ""), AY190, IF(OR(AY190 &lt; (1-VLOOKUP($H190,PARÂMETROS!$E:$F,2,FALSE))*$P190, AY190 &gt; (1+VLOOKUP($H190,PARÂMETROS!$E:$F,2,FALSE))*$P190),"",AY190)))</f>
        <v/>
      </c>
      <c r="Z190" s="237" t="str">
        <f>IF(BE190 = "", "", IF(OR($H190 = PARÂMETROS!$E$5, $H190 = ""), BE190, IF(OR(BE190 &lt; (1-VLOOKUP($H190,PARÂMETROS!$E:$F,2,FALSE))*$P190, BE190 &gt; (1+VLOOKUP($H190,PARÂMETROS!$E:$F,2,FALSE))*$P190),"",BE190)))</f>
        <v/>
      </c>
      <c r="AA190" s="207">
        <v>14490</v>
      </c>
      <c r="AB190" s="208">
        <v>875</v>
      </c>
      <c r="AC190" s="206" t="e">
        <f>IF(AND(OR(AA190="",AA190=0),OR(AA190="",AB190=0)),"",IF(OR(AA190="",AA190=0),"DEFINIR PREÇO",IF(OR(AB190="",AB190=0),"DEFINIR FORNECEDOR",IF(OR(AA190&lt;&gt;"",AA190&lt;&gt;0),VLOOKUP(AB190,#REF!,2,FALSE)))))</f>
        <v>#REF!</v>
      </c>
      <c r="AD190" s="217" t="s">
        <v>1977</v>
      </c>
      <c r="AE190" s="218">
        <v>44932</v>
      </c>
      <c r="AF190" s="220" t="str">
        <f t="shared" ca="1" si="81"/>
        <v>DESATUALIZADA</v>
      </c>
      <c r="AG190" s="229">
        <v>13280</v>
      </c>
      <c r="AH190" s="231">
        <v>876</v>
      </c>
      <c r="AI190" s="206" t="e">
        <f>IF(AND(OR(AG190="",AG190=0),OR(AG190="",AH190=0)),"",IF(OR(AG190="",AG190=0),"DEFINIR PREÇO",IF(OR(AH190="",AH190=0),"DEFINIR FORNECEDOR",IF(OR(AG190&lt;&gt;"",AG190&lt;&gt;0),VLOOKUP(AH190,#REF!,2,FALSE)))))</f>
        <v>#REF!</v>
      </c>
      <c r="AJ190" s="217" t="s">
        <v>1977</v>
      </c>
      <c r="AK190" s="218">
        <v>44932</v>
      </c>
      <c r="AL190" s="220" t="str">
        <f t="shared" ca="1" si="82"/>
        <v>DESATUALIZADA</v>
      </c>
      <c r="AM190" s="229">
        <v>16990</v>
      </c>
      <c r="AN190" s="231">
        <v>877</v>
      </c>
      <c r="AO190" s="206" t="e">
        <f>IF(AND(OR(AM190="",AM190=0),OR(AM190="",AN190=0)),"",IF(OR(AM190="",AM190=0),"DEFINIR PREÇO",IF(OR(AN190="",AN190=0),"DEFINIR FORNECEDOR",IF(OR(AM190&lt;&gt;"",AM190&lt;&gt;0),VLOOKUP(AN190,#REF!,2,FALSE)))))</f>
        <v>#REF!</v>
      </c>
      <c r="AP190" s="217" t="s">
        <v>1977</v>
      </c>
      <c r="AQ190" s="218">
        <v>44932</v>
      </c>
      <c r="AR190" s="220" t="str">
        <f t="shared" ca="1" si="83"/>
        <v>DESATUALIZADA</v>
      </c>
      <c r="AS190" s="229"/>
      <c r="AT190" s="231"/>
      <c r="AU190" s="194"/>
      <c r="AV190" s="217"/>
      <c r="AW190" s="218"/>
      <c r="AX190" s="220" t="str">
        <f t="shared" ca="1" si="84"/>
        <v/>
      </c>
      <c r="AY190" s="195"/>
      <c r="AZ190" s="196"/>
      <c r="BA190" s="209" t="str">
        <f>IF(AND(OR(AY190="",AY190=0),OR(AY190="",AZ190=0)),"",IF(OR(AY190="",AY190=0),"DEFINIR PREÇO",IF(OR(AZ190="",AZ190=0),"DEFINIR FORNECEDOR",IF(OR(AY190&lt;&gt;"",AY190&lt;&gt;0),VLOOKUP(AZ190,#REF!,2,FALSE)))))</f>
        <v/>
      </c>
      <c r="BB190" s="194"/>
      <c r="BC190" s="194"/>
      <c r="BD190" s="220" t="str">
        <f t="shared" ca="1" si="85"/>
        <v/>
      </c>
      <c r="BE190" s="195"/>
      <c r="BF190" s="196"/>
      <c r="BG190" s="194"/>
      <c r="BH190" s="194"/>
      <c r="BI190" s="194"/>
      <c r="BJ190" s="197"/>
    </row>
    <row r="191" spans="1:62" ht="30" x14ac:dyDescent="0.25">
      <c r="A191" s="44" t="s">
        <v>405</v>
      </c>
      <c r="B191" s="58"/>
      <c r="C191" s="45"/>
      <c r="D191" s="55" t="s">
        <v>465</v>
      </c>
      <c r="E191" s="59"/>
      <c r="F191" s="46"/>
      <c r="G191" s="47"/>
      <c r="H191" s="240" t="s">
        <v>2000</v>
      </c>
      <c r="I191" s="240" t="s">
        <v>2001</v>
      </c>
      <c r="J191" s="242" t="str">
        <f>IFERROR(IF(N191&lt;&gt;"",M191,IF(I191 = PARÂMETROS!$B$5,Q191, IF(I191 = PARÂMETROS!$B$6,R191,IF(I191 = PARÂMETROS!$B$7,S191,IF(I191 = PARÂMETROS!$B$8, T191,"DEFINIR CRITÉRIO"))))),"SEM PREÇO")</f>
        <v>DEFINIR CRITÉRIO</v>
      </c>
      <c r="K191" s="241" t="str">
        <f t="shared" si="74"/>
        <v/>
      </c>
      <c r="L191" s="238" t="str">
        <f t="shared" si="75"/>
        <v/>
      </c>
      <c r="M191" s="51"/>
      <c r="N191" s="52"/>
      <c r="O191" s="53"/>
      <c r="P191" s="235">
        <f t="shared" si="76"/>
        <v>106.79333333333334</v>
      </c>
      <c r="Q191" s="236">
        <f t="shared" si="77"/>
        <v>0</v>
      </c>
      <c r="R191" s="236">
        <f t="shared" si="78"/>
        <v>0</v>
      </c>
      <c r="S191" s="236">
        <f t="shared" si="79"/>
        <v>0</v>
      </c>
      <c r="T191" s="236">
        <f t="shared" si="80"/>
        <v>0</v>
      </c>
      <c r="U191" s="237" t="e">
        <f>IF(AA191 = "", "", IF(OR($H191 = PARÂMETROS!$E$5, $H191 = ""), AA191, IF(OR(AA191 &lt; (1-VLOOKUP($H191,PARÂMETROS!$E:$F,2,FALSE))*$P191, AA191 &gt; (1+VLOOKUP($H191,PARÂMETROS!$E:$F,2,FALSE))*$P191),"",AA191)))</f>
        <v>#N/A</v>
      </c>
      <c r="V191" s="237" t="e">
        <f>IF(AG191 = "", "", IF(OR($H191 = PARÂMETROS!$E$5, $H191 = ""), AG191, IF(OR(AG191 &lt; (1-VLOOKUP($H191,PARÂMETROS!$E:$F,2,FALSE))*$P196, AG191 &gt; (1+VLOOKUP($H191,PARÂMETROS!$E:$F,2,FALSE))*$P191),"",AG191)))</f>
        <v>#N/A</v>
      </c>
      <c r="W191" s="237" t="e">
        <f>IF(AM191 = "", "", IF(OR($H191 = PARÂMETROS!$E$5, $H191 = ""), AM191, IF(OR(AM191 &lt; (1-VLOOKUP($H191,PARÂMETROS!$E:$F,2,FALSE))*$P191, AM191 &gt; (1+VLOOKUP($H191,PARÂMETROS!$E:$F,2,FALSE))*$P191),"",AM191)))</f>
        <v>#N/A</v>
      </c>
      <c r="X191" s="237" t="str">
        <f>IF(AS191 = "", "", IF(OR($H191 = PARÂMETROS!$E$5, $H191 = ""), AS191, IF(OR(AS191 &lt; (1-VLOOKUP($H191,PARÂMETROS!$E:$F,2,FALSE))*$P191, AS191 &gt; (1+VLOOKUP($H191,PARÂMETROS!$E:$F,2,FALSE))*$P191),"",AS191)))</f>
        <v/>
      </c>
      <c r="Y191" s="237" t="str">
        <f>IF(AY191 = "", "", IF(OR($H191 = PARÂMETROS!$E$5, $H191 = ""), AY191, IF(OR(AY191 &lt; (1-VLOOKUP($H191,PARÂMETROS!$E:$F,2,FALSE))*$P191, AY191 &gt; (1+VLOOKUP($H191,PARÂMETROS!$E:$F,2,FALSE))*$P191),"",AY191)))</f>
        <v/>
      </c>
      <c r="Z191" s="237" t="str">
        <f>IF(BE191 = "", "", IF(OR($H191 = PARÂMETROS!$E$5, $H191 = ""), BE191, IF(OR(BE191 &lt; (1-VLOOKUP($H191,PARÂMETROS!$E:$F,2,FALSE))*$P191, BE191 &gt; (1+VLOOKUP($H191,PARÂMETROS!$E:$F,2,FALSE))*$P191),"",BE191)))</f>
        <v/>
      </c>
      <c r="AA191" s="207">
        <v>129.08000000000001</v>
      </c>
      <c r="AB191" s="208">
        <v>861</v>
      </c>
      <c r="AC191" s="206" t="e">
        <f>IF(AND(OR(AA191="",AA191=0),OR(AA191="",AB191=0)),"",IF(OR(AA191="",AA191=0),"DEFINIR PREÇO",IF(OR(AB191="",AB191=0),"DEFINIR FORNECEDOR",IF(OR(AA191&lt;&gt;"",AA191&lt;&gt;0),VLOOKUP(AB191,#REF!,2,FALSE)))))</f>
        <v>#REF!</v>
      </c>
      <c r="AD191" s="217" t="s">
        <v>1977</v>
      </c>
      <c r="AE191" s="218">
        <v>44925</v>
      </c>
      <c r="AF191" s="220" t="str">
        <f t="shared" ca="1" si="81"/>
        <v>DESATUALIZADA</v>
      </c>
      <c r="AG191" s="229">
        <v>90.87</v>
      </c>
      <c r="AH191" s="231">
        <v>862</v>
      </c>
      <c r="AI191" s="206" t="e">
        <f>IF(AND(OR(AG191="",AG191=0),OR(AG191="",AH191=0)),"",IF(OR(AG191="",AG191=0),"DEFINIR PREÇO",IF(OR(AH191="",AH191=0),"DEFINIR FORNECEDOR",IF(OR(AG191&lt;&gt;"",AG191&lt;&gt;0),VLOOKUP(AH191,#REF!,2,FALSE)))))</f>
        <v>#REF!</v>
      </c>
      <c r="AJ191" s="217" t="s">
        <v>1977</v>
      </c>
      <c r="AK191" s="218">
        <v>44925</v>
      </c>
      <c r="AL191" s="220" t="str">
        <f t="shared" ca="1" si="82"/>
        <v>DESATUALIZADA</v>
      </c>
      <c r="AM191" s="229">
        <v>100.43</v>
      </c>
      <c r="AN191" s="231">
        <v>857</v>
      </c>
      <c r="AO191" s="206" t="e">
        <f>IF(AND(OR(AM191="",AM191=0),OR(AM191="",AN191=0)),"",IF(OR(AM191="",AM191=0),"DEFINIR PREÇO",IF(OR(AN191="",AN191=0),"DEFINIR FORNECEDOR",IF(OR(AM191&lt;&gt;"",AM191&lt;&gt;0),VLOOKUP(AN191,#REF!,2,FALSE)))))</f>
        <v>#REF!</v>
      </c>
      <c r="AP191" s="217" t="s">
        <v>1977</v>
      </c>
      <c r="AQ191" s="218">
        <v>44925</v>
      </c>
      <c r="AR191" s="220" t="str">
        <f t="shared" ca="1" si="83"/>
        <v>DESATUALIZADA</v>
      </c>
      <c r="AS191" s="229"/>
      <c r="AT191" s="231"/>
      <c r="AU191" s="194" t="str">
        <f>IF(AND(OR(AS191="",AS191=0),OR(AS191="",AT191=0)),"",IF(OR(AS191="",AS191=0),"DEFINIR PREÇO",IF(OR(AT191="",AT191=0),"DEFINIR FORNECEDOR",IF(OR(AS191&lt;&gt;"",AS191&lt;&gt;0),VLOOKUP(AT191,#REF!,2,FALSE)))))</f>
        <v/>
      </c>
      <c r="AV191" s="217"/>
      <c r="AW191" s="218"/>
      <c r="AX191" s="220" t="str">
        <f t="shared" ca="1" si="84"/>
        <v/>
      </c>
      <c r="AY191" s="195"/>
      <c r="AZ191" s="196"/>
      <c r="BA191" s="209" t="str">
        <f>IF(AND(OR(AY191="",AY191=0),OR(AY191="",AZ191=0)),"",IF(OR(AY191="",AY191=0),"DEFINIR PREÇO",IF(OR(AZ191="",AZ191=0),"DEFINIR FORNECEDOR",IF(OR(AY191&lt;&gt;"",AY191&lt;&gt;0),VLOOKUP(AZ191,#REF!,2,FALSE)))))</f>
        <v/>
      </c>
      <c r="BB191" s="194"/>
      <c r="BC191" s="194"/>
      <c r="BD191" s="220" t="str">
        <f t="shared" ca="1" si="85"/>
        <v/>
      </c>
      <c r="BE191" s="195"/>
      <c r="BF191" s="196"/>
      <c r="BG191" s="194"/>
      <c r="BH191" s="194"/>
      <c r="BI191" s="194"/>
      <c r="BJ191" s="193"/>
    </row>
    <row r="192" spans="1:62" ht="30" x14ac:dyDescent="0.25">
      <c r="A192" s="44" t="s">
        <v>405</v>
      </c>
      <c r="B192" s="58"/>
      <c r="C192" s="45"/>
      <c r="D192" s="55" t="s">
        <v>467</v>
      </c>
      <c r="E192" s="59"/>
      <c r="F192" s="46"/>
      <c r="G192" s="47"/>
      <c r="H192" s="240" t="s">
        <v>2000</v>
      </c>
      <c r="I192" s="240" t="s">
        <v>1999</v>
      </c>
      <c r="J192" s="242" t="str">
        <f>IFERROR(IF(N192&lt;&gt;"",M192,IF(I192 = PARÂMETROS!$B$5,Q192, IF(I192 = PARÂMETROS!$B$6,R192,IF(I192 = PARÂMETROS!$B$7,S192,IF(I192 = PARÂMETROS!$B$8, T192,"DEFINIR CRITÉRIO"))))),"SEM PREÇO")</f>
        <v>DEFINIR CRITÉRIO</v>
      </c>
      <c r="K192" s="241" t="str">
        <f t="shared" si="74"/>
        <v/>
      </c>
      <c r="L192" s="238" t="str">
        <f t="shared" si="75"/>
        <v/>
      </c>
      <c r="M192" s="51"/>
      <c r="N192" s="52"/>
      <c r="O192" s="53"/>
      <c r="P192" s="235">
        <f t="shared" si="76"/>
        <v>74.283333333333346</v>
      </c>
      <c r="Q192" s="236">
        <f t="shared" si="77"/>
        <v>0</v>
      </c>
      <c r="R192" s="236">
        <f t="shared" si="78"/>
        <v>0</v>
      </c>
      <c r="S192" s="236">
        <f t="shared" si="79"/>
        <v>0</v>
      </c>
      <c r="T192" s="236">
        <f t="shared" si="80"/>
        <v>0</v>
      </c>
      <c r="U192" s="237" t="e">
        <f>IF(AA192 = "", "", IF(OR($H192 = PARÂMETROS!$E$5, $H192 = ""), AA192, IF(OR(AA192 &lt; (1-VLOOKUP($H192,PARÂMETROS!$E:$F,2,FALSE))*$P192, AA192 &gt; (1+VLOOKUP($H192,PARÂMETROS!$E:$F,2,FALSE))*$P192),"",AA192)))</f>
        <v>#N/A</v>
      </c>
      <c r="V192" s="237" t="e">
        <f>IF(AG192 = "", "", IF(OR($H192 = PARÂMETROS!$E$5, $H192 = ""), AG192, IF(OR(AG192 &lt; (1-VLOOKUP($H192,PARÂMETROS!$E:$F,2,FALSE))*$P197, AG192 &gt; (1+VLOOKUP($H192,PARÂMETROS!$E:$F,2,FALSE))*$P192),"",AG192)))</f>
        <v>#N/A</v>
      </c>
      <c r="W192" s="237" t="e">
        <f>IF(AM192 = "", "", IF(OR($H192 = PARÂMETROS!$E$5, $H192 = ""), AM192, IF(OR(AM192 &lt; (1-VLOOKUP($H192,PARÂMETROS!$E:$F,2,FALSE))*$P192, AM192 &gt; (1+VLOOKUP($H192,PARÂMETROS!$E:$F,2,FALSE))*$P192),"",AM192)))</f>
        <v>#N/A</v>
      </c>
      <c r="X192" s="237" t="str">
        <f>IF(AS192 = "", "", IF(OR($H192 = PARÂMETROS!$E$5, $H192 = ""), AS192, IF(OR(AS192 &lt; (1-VLOOKUP($H192,PARÂMETROS!$E:$F,2,FALSE))*$P192, AS192 &gt; (1+VLOOKUP($H192,PARÂMETROS!$E:$F,2,FALSE))*$P192),"",AS192)))</f>
        <v/>
      </c>
      <c r="Y192" s="237" t="str">
        <f>IF(AY192 = "", "", IF(OR($H192 = PARÂMETROS!$E$5, $H192 = ""), AY192, IF(OR(AY192 &lt; (1-VLOOKUP($H192,PARÂMETROS!$E:$F,2,FALSE))*$P192, AY192 &gt; (1+VLOOKUP($H192,PARÂMETROS!$E:$F,2,FALSE))*$P192),"",AY192)))</f>
        <v/>
      </c>
      <c r="Z192" s="237" t="str">
        <f>IF(BE192 = "", "", IF(OR($H192 = PARÂMETROS!$E$5, $H192 = ""), BE192, IF(OR(BE192 &lt; (1-VLOOKUP($H192,PARÂMETROS!$E:$F,2,FALSE))*$P192, BE192 &gt; (1+VLOOKUP($H192,PARÂMETROS!$E:$F,2,FALSE))*$P192),"",BE192)))</f>
        <v/>
      </c>
      <c r="AA192" s="207">
        <v>84.59</v>
      </c>
      <c r="AB192" s="208">
        <v>862</v>
      </c>
      <c r="AC192" s="206" t="e">
        <f>IF(AND(OR(AA192="",AA192=0),OR(AA192="",AB192=0)),"",IF(OR(AA192="",AA192=0),"DEFINIR PREÇO",IF(OR(AB192="",AB192=0),"DEFINIR FORNECEDOR",IF(OR(AA192&lt;&gt;"",AA192&lt;&gt;0),VLOOKUP(AB192,#REF!,2,FALSE)))))</f>
        <v>#REF!</v>
      </c>
      <c r="AD192" s="217" t="s">
        <v>1977</v>
      </c>
      <c r="AE192" s="218">
        <v>44925</v>
      </c>
      <c r="AF192" s="220" t="str">
        <f t="shared" ca="1" si="81"/>
        <v>DESATUALIZADA</v>
      </c>
      <c r="AG192" s="229">
        <v>63.06</v>
      </c>
      <c r="AH192" s="231">
        <v>863</v>
      </c>
      <c r="AI192" s="206" t="e">
        <f>IF(AND(OR(AG192="",AG192=0),OR(AG192="",AH192=0)),"",IF(OR(AG192="",AG192=0),"DEFINIR PREÇO",IF(OR(AH192="",AH192=0),"DEFINIR FORNECEDOR",IF(OR(AG192&lt;&gt;"",AG192&lt;&gt;0),VLOOKUP(AH192,#REF!,2,FALSE)))))</f>
        <v>#REF!</v>
      </c>
      <c r="AJ192" s="217" t="s">
        <v>1977</v>
      </c>
      <c r="AK192" s="218">
        <v>44925</v>
      </c>
      <c r="AL192" s="220" t="str">
        <f t="shared" ca="1" si="82"/>
        <v>DESATUALIZADA</v>
      </c>
      <c r="AM192" s="229">
        <v>75.2</v>
      </c>
      <c r="AN192" s="231">
        <v>1883</v>
      </c>
      <c r="AO192" s="206" t="e">
        <f>IF(AND(OR(AM192="",AM192=0),OR(AM192="",AN192=0)),"",IF(OR(AM192="",AM192=0),"DEFINIR PREÇO",IF(OR(AN192="",AN192=0),"DEFINIR FORNECEDOR",IF(OR(AM192&lt;&gt;"",AM192&lt;&gt;0),VLOOKUP(AN192,#REF!,2,FALSE)))))</f>
        <v>#REF!</v>
      </c>
      <c r="AP192" s="217" t="s">
        <v>1977</v>
      </c>
      <c r="AQ192" s="218">
        <v>44925</v>
      </c>
      <c r="AR192" s="220" t="str">
        <f t="shared" ca="1" si="83"/>
        <v>DESATUALIZADA</v>
      </c>
      <c r="AS192" s="229"/>
      <c r="AT192" s="231"/>
      <c r="AU192" s="194" t="str">
        <f>IF(AND(OR(AS192="",AS192=0),OR(AS192="",AT192=0)),"",IF(OR(AS192="",AS192=0),"DEFINIR PREÇO",IF(OR(AT192="",AT192=0),"DEFINIR FORNECEDOR",IF(OR(AS192&lt;&gt;"",AS192&lt;&gt;0),VLOOKUP(AT192,#REF!,2,FALSE)))))</f>
        <v/>
      </c>
      <c r="AV192" s="217"/>
      <c r="AW192" s="218"/>
      <c r="AX192" s="220" t="str">
        <f t="shared" ca="1" si="84"/>
        <v/>
      </c>
      <c r="AY192" s="195"/>
      <c r="AZ192" s="196"/>
      <c r="BA192" s="209" t="str">
        <f>IF(AND(OR(AY192="",AY192=0),OR(AY192="",AZ192=0)),"",IF(OR(AY192="",AY192=0),"DEFINIR PREÇO",IF(OR(AZ192="",AZ192=0),"DEFINIR FORNECEDOR",IF(OR(AY192&lt;&gt;"",AY192&lt;&gt;0),VLOOKUP(AZ192,#REF!,2,FALSE)))))</f>
        <v/>
      </c>
      <c r="BB192" s="194"/>
      <c r="BC192" s="194"/>
      <c r="BD192" s="220" t="str">
        <f t="shared" ca="1" si="85"/>
        <v/>
      </c>
      <c r="BE192" s="195"/>
      <c r="BF192" s="196"/>
      <c r="BG192" s="194"/>
      <c r="BH192" s="194"/>
      <c r="BI192" s="194"/>
      <c r="BJ192" s="193"/>
    </row>
    <row r="193" spans="1:62" ht="30" x14ac:dyDescent="0.25">
      <c r="A193" s="44" t="s">
        <v>405</v>
      </c>
      <c r="B193" s="58"/>
      <c r="C193" s="45"/>
      <c r="D193" s="55" t="s">
        <v>466</v>
      </c>
      <c r="E193" s="59"/>
      <c r="F193" s="46"/>
      <c r="G193" s="47"/>
      <c r="H193" s="240" t="s">
        <v>2000</v>
      </c>
      <c r="I193" s="240" t="s">
        <v>2001</v>
      </c>
      <c r="J193" s="242" t="str">
        <f>IFERROR(IF(N193&lt;&gt;"",M193,IF(I193 = PARÂMETROS!$B$5,Q193, IF(I193 = PARÂMETROS!$B$6,R193,IF(I193 = PARÂMETROS!$B$7,S193,IF(I193 = PARÂMETROS!$B$8, T193,"DEFINIR CRITÉRIO"))))),"SEM PREÇO")</f>
        <v>DEFINIR CRITÉRIO</v>
      </c>
      <c r="K193" s="241" t="str">
        <f t="shared" si="74"/>
        <v/>
      </c>
      <c r="L193" s="238" t="str">
        <f t="shared" si="75"/>
        <v/>
      </c>
      <c r="M193" s="51"/>
      <c r="N193" s="52"/>
      <c r="O193" s="53"/>
      <c r="P193" s="235">
        <f t="shared" si="76"/>
        <v>60.653333333333336</v>
      </c>
      <c r="Q193" s="236">
        <f t="shared" si="77"/>
        <v>0</v>
      </c>
      <c r="R193" s="236">
        <f t="shared" si="78"/>
        <v>0</v>
      </c>
      <c r="S193" s="236">
        <f t="shared" si="79"/>
        <v>0</v>
      </c>
      <c r="T193" s="236">
        <f t="shared" si="80"/>
        <v>0</v>
      </c>
      <c r="U193" s="237" t="e">
        <f>IF(AA193 = "", "", IF(OR($H193 = PARÂMETROS!$E$5, $H193 = ""), AA193, IF(OR(AA193 &lt; (1-VLOOKUP($H193,PARÂMETROS!$E:$F,2,FALSE))*$P193, AA193 &gt; (1+VLOOKUP($H193,PARÂMETROS!$E:$F,2,FALSE))*$P193),"",AA193)))</f>
        <v>#N/A</v>
      </c>
      <c r="V193" s="237" t="e">
        <f>IF(AG193 = "", "", IF(OR($H193 = PARÂMETROS!$E$5, $H193 = ""), AG193, IF(OR(AG193 &lt; (1-VLOOKUP($H193,PARÂMETROS!$E:$F,2,FALSE))*$P198, AG193 &gt; (1+VLOOKUP($H193,PARÂMETROS!$E:$F,2,FALSE))*$P193),"",AG193)))</f>
        <v>#N/A</v>
      </c>
      <c r="W193" s="237" t="e">
        <f>IF(AM193 = "", "", IF(OR($H193 = PARÂMETROS!$E$5, $H193 = ""), AM193, IF(OR(AM193 &lt; (1-VLOOKUP($H193,PARÂMETROS!$E:$F,2,FALSE))*$P193, AM193 &gt; (1+VLOOKUP($H193,PARÂMETROS!$E:$F,2,FALSE))*$P193),"",AM193)))</f>
        <v>#N/A</v>
      </c>
      <c r="X193" s="237" t="str">
        <f>IF(AS193 = "", "", IF(OR($H193 = PARÂMETROS!$E$5, $H193 = ""), AS193, IF(OR(AS193 &lt; (1-VLOOKUP($H193,PARÂMETROS!$E:$F,2,FALSE))*$P193, AS193 &gt; (1+VLOOKUP($H193,PARÂMETROS!$E:$F,2,FALSE))*$P193),"",AS193)))</f>
        <v/>
      </c>
      <c r="Y193" s="237" t="str">
        <f>IF(AY193 = "", "", IF(OR($H193 = PARÂMETROS!$E$5, $H193 = ""), AY193, IF(OR(AY193 &lt; (1-VLOOKUP($H193,PARÂMETROS!$E:$F,2,FALSE))*$P193, AY193 &gt; (1+VLOOKUP($H193,PARÂMETROS!$E:$F,2,FALSE))*$P193),"",AY193)))</f>
        <v/>
      </c>
      <c r="Z193" s="237" t="str">
        <f>IF(BE193 = "", "", IF(OR($H193 = PARÂMETROS!$E$5, $H193 = ""), BE193, IF(OR(BE193 &lt; (1-VLOOKUP($H193,PARÂMETROS!$E:$F,2,FALSE))*$P193, BE193 &gt; (1+VLOOKUP($H193,PARÂMETROS!$E:$F,2,FALSE))*$P193),"",BE193)))</f>
        <v/>
      </c>
      <c r="AA193" s="207">
        <v>79</v>
      </c>
      <c r="AB193" s="208">
        <v>862</v>
      </c>
      <c r="AC193" s="206" t="e">
        <f>IF(AND(OR(AA193="",AA193=0),OR(AA193="",AB193=0)),"",IF(OR(AA193="",AA193=0),"DEFINIR PREÇO",IF(OR(AB193="",AB193=0),"DEFINIR FORNECEDOR",IF(OR(AA193&lt;&gt;"",AA193&lt;&gt;0),VLOOKUP(AB193,#REF!,2,FALSE)))))</f>
        <v>#REF!</v>
      </c>
      <c r="AD193" s="217" t="s">
        <v>1977</v>
      </c>
      <c r="AE193" s="218">
        <v>44925</v>
      </c>
      <c r="AF193" s="220" t="str">
        <f t="shared" ca="1" si="81"/>
        <v>DESATUALIZADA</v>
      </c>
      <c r="AG193" s="229">
        <v>63.06</v>
      </c>
      <c r="AH193" s="231">
        <v>863</v>
      </c>
      <c r="AI193" s="206" t="e">
        <f>IF(AND(OR(AG193="",AG193=0),OR(AG193="",AH193=0)),"",IF(OR(AG193="",AG193=0),"DEFINIR PREÇO",IF(OR(AH193="",AH193=0),"DEFINIR FORNECEDOR",IF(OR(AG193&lt;&gt;"",AG193&lt;&gt;0),VLOOKUP(AH193,#REF!,2,FALSE)))))</f>
        <v>#REF!</v>
      </c>
      <c r="AJ193" s="217" t="s">
        <v>1977</v>
      </c>
      <c r="AK193" s="218">
        <v>44925</v>
      </c>
      <c r="AL193" s="220" t="str">
        <f t="shared" ca="1" si="82"/>
        <v>DESATUALIZADA</v>
      </c>
      <c r="AM193" s="229">
        <v>39.9</v>
      </c>
      <c r="AN193" s="231">
        <v>1883</v>
      </c>
      <c r="AO193" s="206" t="e">
        <f>IF(AND(OR(AM193="",AM193=0),OR(AM193="",AN193=0)),"",IF(OR(AM193="",AM193=0),"DEFINIR PREÇO",IF(OR(AN193="",AN193=0),"DEFINIR FORNECEDOR",IF(OR(AM193&lt;&gt;"",AM193&lt;&gt;0),VLOOKUP(AN193,#REF!,2,FALSE)))))</f>
        <v>#REF!</v>
      </c>
      <c r="AP193" s="217" t="s">
        <v>1977</v>
      </c>
      <c r="AQ193" s="218">
        <v>44925</v>
      </c>
      <c r="AR193" s="220" t="str">
        <f t="shared" ca="1" si="83"/>
        <v>DESATUALIZADA</v>
      </c>
      <c r="AS193" s="229"/>
      <c r="AT193" s="231"/>
      <c r="AU193" s="194"/>
      <c r="AV193" s="217"/>
      <c r="AW193" s="218"/>
      <c r="AX193" s="220" t="str">
        <f t="shared" ca="1" si="84"/>
        <v/>
      </c>
      <c r="AY193" s="195"/>
      <c r="AZ193" s="196"/>
      <c r="BA193" s="209" t="str">
        <f>IF(AND(OR(AY193="",AY193=0),OR(AY193="",AZ193=0)),"",IF(OR(AY193="",AY193=0),"DEFINIR PREÇO",IF(OR(AZ193="",AZ193=0),"DEFINIR FORNECEDOR",IF(OR(AY193&lt;&gt;"",AY193&lt;&gt;0),VLOOKUP(AZ193,#REF!,2,FALSE)))))</f>
        <v/>
      </c>
      <c r="BB193" s="194"/>
      <c r="BC193" s="194"/>
      <c r="BD193" s="220" t="str">
        <f t="shared" ca="1" si="85"/>
        <v/>
      </c>
      <c r="BE193" s="195"/>
      <c r="BF193" s="196"/>
      <c r="BG193" s="194"/>
      <c r="BH193" s="194"/>
      <c r="BI193" s="194"/>
      <c r="BJ193" s="197"/>
    </row>
    <row r="194" spans="1:62" ht="30" x14ac:dyDescent="0.25">
      <c r="A194" s="44" t="s">
        <v>405</v>
      </c>
      <c r="B194" s="58" t="s">
        <v>313</v>
      </c>
      <c r="C194" s="45">
        <v>4</v>
      </c>
      <c r="D194" s="55" t="s">
        <v>267</v>
      </c>
      <c r="E194" s="45" t="s">
        <v>26</v>
      </c>
      <c r="F194" s="46" t="e">
        <f>VLOOKUP(B194,#REF!,4,FALSE)</f>
        <v>#REF!</v>
      </c>
      <c r="G194" s="47" t="e">
        <f>VLOOKUP(B194,#REF!,4,FALSE)</f>
        <v>#REF!</v>
      </c>
      <c r="H194" s="240" t="s">
        <v>2000</v>
      </c>
      <c r="I194" s="240" t="s">
        <v>2001</v>
      </c>
      <c r="J194" s="242" t="str">
        <f>IFERROR(IF(N194&lt;&gt;"",M194,IF(I194 = PARÂMETROS!$B$5,Q194, IF(I194 = PARÂMETROS!$B$6,R194,IF(I194 = PARÂMETROS!$B$7,S194,IF(I194 = PARÂMETROS!$B$8, T194,"DEFINIR CRITÉRIO"))))),"SEM PREÇO")</f>
        <v>DEFINIR CRITÉRIO</v>
      </c>
      <c r="K194" s="241" t="str">
        <f t="shared" si="74"/>
        <v/>
      </c>
      <c r="L194" s="238" t="str">
        <f t="shared" si="75"/>
        <v/>
      </c>
      <c r="M194" s="51"/>
      <c r="N194" s="52"/>
      <c r="O194" s="53" t="s">
        <v>26</v>
      </c>
      <c r="P194" s="235">
        <f t="shared" si="76"/>
        <v>1199</v>
      </c>
      <c r="Q194" s="236">
        <f t="shared" si="77"/>
        <v>0</v>
      </c>
      <c r="R194" s="236">
        <f t="shared" si="78"/>
        <v>0</v>
      </c>
      <c r="S194" s="236">
        <f t="shared" si="79"/>
        <v>0</v>
      </c>
      <c r="T194" s="236">
        <f t="shared" si="80"/>
        <v>0</v>
      </c>
      <c r="U194" s="237" t="e">
        <f>IF(AA194 = "", "", IF(OR($H194 = PARÂMETROS!$E$5, $H194 = ""), AA194, IF(OR(AA194 &lt; (1-VLOOKUP($H194,PARÂMETROS!$E:$F,2,FALSE))*$P194, AA194 &gt; (1+VLOOKUP($H194,PARÂMETROS!$E:$F,2,FALSE))*$P194),"",AA194)))</f>
        <v>#N/A</v>
      </c>
      <c r="V194" s="237" t="e">
        <f>IF(AG194 = "", "", IF(OR($H194 = PARÂMETROS!$E$5, $H194 = ""), AG194, IF(OR(AG194 &lt; (1-VLOOKUP($H194,PARÂMETROS!$E:$F,2,FALSE))*$P199, AG194 &gt; (1+VLOOKUP($H194,PARÂMETROS!$E:$F,2,FALSE))*$P194),"",AG194)))</f>
        <v>#N/A</v>
      </c>
      <c r="W194" s="237" t="e">
        <f>IF(AM194 = "", "", IF(OR($H194 = PARÂMETROS!$E$5, $H194 = ""), AM194, IF(OR(AM194 &lt; (1-VLOOKUP($H194,PARÂMETROS!$E:$F,2,FALSE))*$P194, AM194 &gt; (1+VLOOKUP($H194,PARÂMETROS!$E:$F,2,FALSE))*$P194),"",AM194)))</f>
        <v>#N/A</v>
      </c>
      <c r="X194" s="237" t="str">
        <f>IF(AS194 = "", "", IF(OR($H194 = PARÂMETROS!$E$5, $H194 = ""), AS194, IF(OR(AS194 &lt; (1-VLOOKUP($H194,PARÂMETROS!$E:$F,2,FALSE))*$P194, AS194 &gt; (1+VLOOKUP($H194,PARÂMETROS!$E:$F,2,FALSE))*$P194),"",AS194)))</f>
        <v/>
      </c>
      <c r="Y194" s="237" t="str">
        <f>IF(AY194 = "", "", IF(OR($H194 = PARÂMETROS!$E$5, $H194 = ""), AY194, IF(OR(AY194 &lt; (1-VLOOKUP($H194,PARÂMETROS!$E:$F,2,FALSE))*$P194, AY194 &gt; (1+VLOOKUP($H194,PARÂMETROS!$E:$F,2,FALSE))*$P194),"",AY194)))</f>
        <v/>
      </c>
      <c r="Z194" s="237" t="str">
        <f>IF(BE194 = "", "", IF(OR($H194 = PARÂMETROS!$E$5, $H194 = ""), BE194, IF(OR(BE194 &lt; (1-VLOOKUP($H194,PARÂMETROS!$E:$F,2,FALSE))*$P194, BE194 &gt; (1+VLOOKUP($H194,PARÂMETROS!$E:$F,2,FALSE))*$P194),"",BE194)))</f>
        <v/>
      </c>
      <c r="AA194" s="207">
        <v>999</v>
      </c>
      <c r="AB194" s="208">
        <v>1575</v>
      </c>
      <c r="AC194" s="206" t="e">
        <f>IF(AND(OR(AA194="",AA194=0),OR(AA194="",AB194=0)),"",IF(OR(AA194="",AA194=0),"DEFINIR PREÇO",IF(OR(AB194="",AB194=0),"DEFINIR FORNECEDOR",IF(OR(AA194&lt;&gt;"",AA194&lt;&gt;0),VLOOKUP(AB194,#REF!,2,FALSE)))))</f>
        <v>#REF!</v>
      </c>
      <c r="AD194" s="217" t="s">
        <v>1977</v>
      </c>
      <c r="AE194" s="218">
        <v>44925</v>
      </c>
      <c r="AF194" s="220" t="str">
        <f t="shared" ca="1" si="81"/>
        <v>DESATUALIZADA</v>
      </c>
      <c r="AG194" s="229">
        <v>1499</v>
      </c>
      <c r="AH194" s="231">
        <v>1875</v>
      </c>
      <c r="AI194" s="206" t="e">
        <f>IF(AND(OR(AG194="",AG194=0),OR(AG194="",AH194=0)),"",IF(OR(AG194="",AG194=0),"DEFINIR PREÇO",IF(OR(AH194="",AH194=0),"DEFINIR FORNECEDOR",IF(OR(AG194&lt;&gt;"",AG194&lt;&gt;0),VLOOKUP(AH194,#REF!,2,FALSE)))))</f>
        <v>#REF!</v>
      </c>
      <c r="AJ194" s="217" t="s">
        <v>1977</v>
      </c>
      <c r="AK194" s="218">
        <v>44925</v>
      </c>
      <c r="AL194" s="220" t="str">
        <f t="shared" ca="1" si="82"/>
        <v>DESATUALIZADA</v>
      </c>
      <c r="AM194" s="229">
        <v>1099</v>
      </c>
      <c r="AN194" s="231">
        <v>612</v>
      </c>
      <c r="AO194" s="206" t="e">
        <f>IF(AND(OR(AM194="",AM194=0),OR(AM194="",AN194=0)),"",IF(OR(AM194="",AM194=0),"DEFINIR PREÇO",IF(OR(AN194="",AN194=0),"DEFINIR FORNECEDOR",IF(OR(AM194&lt;&gt;"",AM194&lt;&gt;0),VLOOKUP(AN194,#REF!,2,FALSE)))))</f>
        <v>#REF!</v>
      </c>
      <c r="AP194" s="217" t="s">
        <v>1977</v>
      </c>
      <c r="AQ194" s="218">
        <v>44925</v>
      </c>
      <c r="AR194" s="220" t="str">
        <f t="shared" ca="1" si="83"/>
        <v>DESATUALIZADA</v>
      </c>
      <c r="AS194" s="229"/>
      <c r="AT194" s="231"/>
      <c r="AU194" s="194"/>
      <c r="AV194" s="217"/>
      <c r="AW194" s="218"/>
      <c r="AX194" s="220" t="str">
        <f t="shared" ca="1" si="84"/>
        <v/>
      </c>
      <c r="AY194" s="195"/>
      <c r="AZ194" s="196"/>
      <c r="BA194" s="209" t="str">
        <f>IF(AND(OR(AY194="",AY194=0),OR(AY194="",AZ194=0)),"",IF(OR(AY194="",AY194=0),"DEFINIR PREÇO",IF(OR(AZ194="",AZ194=0),"DEFINIR FORNECEDOR",IF(OR(AY194&lt;&gt;"",AY194&lt;&gt;0),VLOOKUP(AZ194,#REF!,2,FALSE)))))</f>
        <v/>
      </c>
      <c r="BB194" s="194"/>
      <c r="BC194" s="194"/>
      <c r="BD194" s="220" t="str">
        <f t="shared" ca="1" si="85"/>
        <v/>
      </c>
      <c r="BE194" s="195"/>
      <c r="BF194" s="196"/>
      <c r="BG194" s="194"/>
      <c r="BH194" s="194"/>
      <c r="BI194" s="194"/>
      <c r="BJ194" s="197"/>
    </row>
    <row r="195" spans="1:62" ht="25.5" x14ac:dyDescent="0.25">
      <c r="A195" s="44" t="s">
        <v>405</v>
      </c>
      <c r="B195" s="58" t="s">
        <v>189</v>
      </c>
      <c r="C195" s="45">
        <v>5</v>
      </c>
      <c r="D195" s="55" t="s">
        <v>176</v>
      </c>
      <c r="E195" s="45" t="s">
        <v>21</v>
      </c>
      <c r="F195" s="46" t="e">
        <f>VLOOKUP(N195,#REF!,4,FALSE)</f>
        <v>#REF!</v>
      </c>
      <c r="G195" s="47" t="e">
        <f>VLOOKUP(N195,#REF!,5,FALSE)</f>
        <v>#REF!</v>
      </c>
      <c r="H195" s="240" t="s">
        <v>2000</v>
      </c>
      <c r="I195" s="240" t="s">
        <v>2001</v>
      </c>
      <c r="J195" s="242" t="str">
        <f>IFERROR(IF(N195&lt;&gt;"",M195,IF(I195 = PARÂMETROS!$B$5,Q195, IF(I195 = PARÂMETROS!$B$6,R195,IF(I195 = PARÂMETROS!$B$7,S195,IF(I195 = PARÂMETROS!$B$8, T195,"DEFINIR CRITÉRIO"))))),"SEM PREÇO")</f>
        <v>SEM PREÇO</v>
      </c>
      <c r="K195" s="241">
        <f t="shared" si="74"/>
        <v>0</v>
      </c>
      <c r="L195" s="238" t="str">
        <f t="shared" si="75"/>
        <v/>
      </c>
      <c r="M195" s="180" t="e">
        <f>F195</f>
        <v>#REF!</v>
      </c>
      <c r="N195" s="151">
        <v>154819001003</v>
      </c>
      <c r="O195" s="53" t="s">
        <v>1273</v>
      </c>
      <c r="P195" s="235">
        <f t="shared" si="76"/>
        <v>0</v>
      </c>
      <c r="Q195" s="236">
        <f t="shared" si="77"/>
        <v>0</v>
      </c>
      <c r="R195" s="236">
        <f t="shared" si="78"/>
        <v>0</v>
      </c>
      <c r="S195" s="236">
        <f t="shared" si="79"/>
        <v>0</v>
      </c>
      <c r="T195" s="236">
        <f t="shared" si="80"/>
        <v>0</v>
      </c>
      <c r="U195" s="237" t="str">
        <f>IF(AA195 = "", "", IF(OR($H195 = PARÂMETROS!$E$5, $H195 = ""), AA195, IF(OR(AA195 &lt; (1-VLOOKUP($H195,PARÂMETROS!$E:$F,2,FALSE))*$P195, AA195 &gt; (1+VLOOKUP($H195,PARÂMETROS!$E:$F,2,FALSE))*$P195),"",AA195)))</f>
        <v/>
      </c>
      <c r="V195" s="237" t="str">
        <f>IF(AG195 = "", "", IF(OR($H195 = PARÂMETROS!$E$5, $H195 = ""), AG195, IF(OR(AG195 &lt; (1-VLOOKUP($H195,PARÂMETROS!$E:$F,2,FALSE))*$P200, AG195 &gt; (1+VLOOKUP($H195,PARÂMETROS!$E:$F,2,FALSE))*$P195),"",AG195)))</f>
        <v/>
      </c>
      <c r="W195" s="237" t="str">
        <f>IF(AM195 = "", "", IF(OR($H195 = PARÂMETROS!$E$5, $H195 = ""), AM195, IF(OR(AM195 &lt; (1-VLOOKUP($H195,PARÂMETROS!$E:$F,2,FALSE))*$P195, AM195 &gt; (1+VLOOKUP($H195,PARÂMETROS!$E:$F,2,FALSE))*$P195),"",AM195)))</f>
        <v/>
      </c>
      <c r="X195" s="237" t="str">
        <f>IF(AS195 = "", "", IF(OR($H195 = PARÂMETROS!$E$5, $H195 = ""), AS195, IF(OR(AS195 &lt; (1-VLOOKUP($H195,PARÂMETROS!$E:$F,2,FALSE))*$P195, AS195 &gt; (1+VLOOKUP($H195,PARÂMETROS!$E:$F,2,FALSE))*$P195),"",AS195)))</f>
        <v/>
      </c>
      <c r="Y195" s="237" t="str">
        <f>IF(AY195 = "", "", IF(OR($H195 = PARÂMETROS!$E$5, $H195 = ""), AY195, IF(OR(AY195 &lt; (1-VLOOKUP($H195,PARÂMETROS!$E:$F,2,FALSE))*$P195, AY195 &gt; (1+VLOOKUP($H195,PARÂMETROS!$E:$F,2,FALSE))*$P195),"",AY195)))</f>
        <v/>
      </c>
      <c r="Z195" s="237" t="str">
        <f>IF(BE195 = "", "", IF(OR($H195 = PARÂMETROS!$E$5, $H195 = ""), BE195, IF(OR(BE195 &lt; (1-VLOOKUP($H195,PARÂMETROS!$E:$F,2,FALSE))*$P195, BE195 &gt; (1+VLOOKUP($H195,PARÂMETROS!$E:$F,2,FALSE))*$P195),"",BE195)))</f>
        <v/>
      </c>
      <c r="AA195" s="207"/>
      <c r="AB195" s="208"/>
      <c r="AC195" s="206" t="str">
        <f>IF(AND(OR(AA195="",AA195=0),OR(AA195="",AB195=0)),"",IF(OR(AA195="",AA195=0),"DEFINIR PREÇO",IF(OR(AB195="",AB195=0),"DEFINIR FORNECEDOR",IF(OR(AA195&lt;&gt;"",AA195&lt;&gt;0),VLOOKUP(AB195,#REF!,2,FALSE)))))</f>
        <v/>
      </c>
      <c r="AD195" s="217"/>
      <c r="AE195" s="218"/>
      <c r="AF195" s="220" t="str">
        <f t="shared" ca="1" si="81"/>
        <v/>
      </c>
      <c r="AG195" s="229"/>
      <c r="AH195" s="231"/>
      <c r="AI195" s="206" t="str">
        <f>IF(AND(OR(AG195="",AG195=0),OR(AG195="",AH195=0)),"",IF(OR(AG195="",AG195=0),"DEFINIR PREÇO",IF(OR(AH195="",AH195=0),"DEFINIR FORNECEDOR",IF(OR(AG195&lt;&gt;"",AG195&lt;&gt;0),VLOOKUP(AH195,#REF!,2,FALSE)))))</f>
        <v/>
      </c>
      <c r="AJ195" s="217"/>
      <c r="AK195" s="218"/>
      <c r="AL195" s="220" t="str">
        <f t="shared" ca="1" si="82"/>
        <v/>
      </c>
      <c r="AM195" s="229"/>
      <c r="AN195" s="231"/>
      <c r="AO195" s="206" t="str">
        <f>IF(AND(OR(AM195="",AM195=0),OR(AM195="",AN195=0)),"",IF(OR(AM195="",AM195=0),"DEFINIR PREÇO",IF(OR(AN195="",AN195=0),"DEFINIR FORNECEDOR",IF(OR(AM195&lt;&gt;"",AM195&lt;&gt;0),VLOOKUP(AN195,#REF!,2,FALSE)))))</f>
        <v/>
      </c>
      <c r="AP195" s="217"/>
      <c r="AQ195" s="218"/>
      <c r="AR195" s="220" t="str">
        <f t="shared" ca="1" si="83"/>
        <v/>
      </c>
      <c r="AS195" s="229"/>
      <c r="AT195" s="231"/>
      <c r="AU195" s="194"/>
      <c r="AV195" s="217"/>
      <c r="AW195" s="218"/>
      <c r="AX195" s="220" t="str">
        <f t="shared" ca="1" si="84"/>
        <v/>
      </c>
      <c r="AY195" s="195"/>
      <c r="AZ195" s="196"/>
      <c r="BA195" s="209" t="str">
        <f>IF(AND(OR(AY195="",AY195=0),OR(AY195="",AZ195=0)),"",IF(OR(AY195="",AY195=0),"DEFINIR PREÇO",IF(OR(AZ195="",AZ195=0),"DEFINIR FORNECEDOR",IF(OR(AY195&lt;&gt;"",AY195&lt;&gt;0),VLOOKUP(AZ195,#REF!,2,FALSE)))))</f>
        <v/>
      </c>
      <c r="BB195" s="194"/>
      <c r="BC195" s="194"/>
      <c r="BD195" s="220" t="str">
        <f t="shared" ca="1" si="85"/>
        <v/>
      </c>
      <c r="BE195" s="195"/>
      <c r="BF195" s="196"/>
      <c r="BG195" s="194"/>
      <c r="BH195" s="194"/>
      <c r="BI195" s="194"/>
      <c r="BJ195" s="197"/>
    </row>
    <row r="196" spans="1:62" ht="25.5" x14ac:dyDescent="0.25">
      <c r="A196" s="44" t="s">
        <v>405</v>
      </c>
      <c r="B196" s="58" t="s">
        <v>181</v>
      </c>
      <c r="C196" s="45">
        <v>5</v>
      </c>
      <c r="D196" s="55" t="s">
        <v>172</v>
      </c>
      <c r="E196" s="45" t="s">
        <v>21</v>
      </c>
      <c r="F196" s="46" t="e">
        <f>VLOOKUP(N196,#REF!,4,FALSE)</f>
        <v>#REF!</v>
      </c>
      <c r="G196" s="47" t="e">
        <f>VLOOKUP(N196,#REF!,5,FALSE)</f>
        <v>#REF!</v>
      </c>
      <c r="H196" s="240" t="s">
        <v>2000</v>
      </c>
      <c r="I196" s="240" t="s">
        <v>2001</v>
      </c>
      <c r="J196" s="242" t="str">
        <f>IFERROR(IF(N196&lt;&gt;"",M196,IF(I196 = PARÂMETROS!$B$5,Q196, IF(I196 = PARÂMETROS!$B$6,R196,IF(I196 = PARÂMETROS!$B$7,S196,IF(I196 = PARÂMETROS!$B$8, T196,"DEFINIR CRITÉRIO"))))),"SEM PREÇO")</f>
        <v>SEM PREÇO</v>
      </c>
      <c r="K196" s="241">
        <f t="shared" si="74"/>
        <v>0</v>
      </c>
      <c r="L196" s="238" t="str">
        <f t="shared" si="75"/>
        <v/>
      </c>
      <c r="M196" s="180" t="e">
        <f>F196</f>
        <v>#REF!</v>
      </c>
      <c r="N196" s="151">
        <v>154819001001</v>
      </c>
      <c r="O196" s="53" t="s">
        <v>1273</v>
      </c>
      <c r="P196" s="235">
        <f t="shared" si="76"/>
        <v>0</v>
      </c>
      <c r="Q196" s="236">
        <f t="shared" si="77"/>
        <v>0</v>
      </c>
      <c r="R196" s="236">
        <f t="shared" si="78"/>
        <v>0</v>
      </c>
      <c r="S196" s="236">
        <f t="shared" si="79"/>
        <v>0</v>
      </c>
      <c r="T196" s="236">
        <f t="shared" si="80"/>
        <v>0</v>
      </c>
      <c r="U196" s="237" t="str">
        <f>IF(AA196 = "", "", IF(OR($H196 = PARÂMETROS!$E$5, $H196 = ""), AA196, IF(OR(AA196 &lt; (1-VLOOKUP($H196,PARÂMETROS!$E:$F,2,FALSE))*$P196, AA196 &gt; (1+VLOOKUP($H196,PARÂMETROS!$E:$F,2,FALSE))*$P196),"",AA196)))</f>
        <v/>
      </c>
      <c r="V196" s="237" t="str">
        <f>IF(AG196 = "", "", IF(OR($H196 = PARÂMETROS!$E$5, $H196 = ""), AG196, IF(OR(AG196 &lt; (1-VLOOKUP($H196,PARÂMETROS!$E:$F,2,FALSE))*$P201, AG196 &gt; (1+VLOOKUP($H196,PARÂMETROS!$E:$F,2,FALSE))*$P196),"",AG196)))</f>
        <v/>
      </c>
      <c r="W196" s="237" t="str">
        <f>IF(AM196 = "", "", IF(OR($H196 = PARÂMETROS!$E$5, $H196 = ""), AM196, IF(OR(AM196 &lt; (1-VLOOKUP($H196,PARÂMETROS!$E:$F,2,FALSE))*$P196, AM196 &gt; (1+VLOOKUP($H196,PARÂMETROS!$E:$F,2,FALSE))*$P196),"",AM196)))</f>
        <v/>
      </c>
      <c r="X196" s="237" t="str">
        <f>IF(AS196 = "", "", IF(OR($H196 = PARÂMETROS!$E$5, $H196 = ""), AS196, IF(OR(AS196 &lt; (1-VLOOKUP($H196,PARÂMETROS!$E:$F,2,FALSE))*$P196, AS196 &gt; (1+VLOOKUP($H196,PARÂMETROS!$E:$F,2,FALSE))*$P196),"",AS196)))</f>
        <v/>
      </c>
      <c r="Y196" s="237" t="str">
        <f>IF(AY196 = "", "", IF(OR($H196 = PARÂMETROS!$E$5, $H196 = ""), AY196, IF(OR(AY196 &lt; (1-VLOOKUP($H196,PARÂMETROS!$E:$F,2,FALSE))*$P196, AY196 &gt; (1+VLOOKUP($H196,PARÂMETROS!$E:$F,2,FALSE))*$P196),"",AY196)))</f>
        <v/>
      </c>
      <c r="Z196" s="237" t="str">
        <f>IF(BE196 = "", "", IF(OR($H196 = PARÂMETROS!$E$5, $H196 = ""), BE196, IF(OR(BE196 &lt; (1-VLOOKUP($H196,PARÂMETROS!$E:$F,2,FALSE))*$P196, BE196 &gt; (1+VLOOKUP($H196,PARÂMETROS!$E:$F,2,FALSE))*$P196),"",BE196)))</f>
        <v/>
      </c>
      <c r="AA196" s="207"/>
      <c r="AB196" s="208"/>
      <c r="AC196" s="206" t="str">
        <f>IF(AND(OR(AA196="",AA196=0),OR(AA196="",AB196=0)),"",IF(OR(AA196="",AA196=0),"DEFINIR PREÇO",IF(OR(AB196="",AB196=0),"DEFINIR FORNECEDOR",IF(OR(AA196&lt;&gt;"",AA196&lt;&gt;0),VLOOKUP(AB196,#REF!,2,FALSE)))))</f>
        <v/>
      </c>
      <c r="AD196" s="217"/>
      <c r="AE196" s="218"/>
      <c r="AF196" s="220" t="str">
        <f t="shared" ca="1" si="81"/>
        <v/>
      </c>
      <c r="AG196" s="229"/>
      <c r="AH196" s="231"/>
      <c r="AI196" s="206" t="str">
        <f>IF(AND(OR(AG196="",AG196=0),OR(AG196="",AH196=0)),"",IF(OR(AG196="",AG196=0),"DEFINIR PREÇO",IF(OR(AH196="",AH196=0),"DEFINIR FORNECEDOR",IF(OR(AG196&lt;&gt;"",AG196&lt;&gt;0),VLOOKUP(AH196,#REF!,2,FALSE)))))</f>
        <v/>
      </c>
      <c r="AJ196" s="217"/>
      <c r="AK196" s="218"/>
      <c r="AL196" s="220" t="str">
        <f t="shared" ca="1" si="82"/>
        <v/>
      </c>
      <c r="AM196" s="229"/>
      <c r="AN196" s="231"/>
      <c r="AO196" s="206" t="str">
        <f>IF(AND(OR(AM196="",AM196=0),OR(AM196="",AN196=0)),"",IF(OR(AM196="",AM196=0),"DEFINIR PREÇO",IF(OR(AN196="",AN196=0),"DEFINIR FORNECEDOR",IF(OR(AM196&lt;&gt;"",AM196&lt;&gt;0),VLOOKUP(AN196,#REF!,2,FALSE)))))</f>
        <v/>
      </c>
      <c r="AP196" s="217"/>
      <c r="AQ196" s="218"/>
      <c r="AR196" s="220" t="str">
        <f t="shared" ca="1" si="83"/>
        <v/>
      </c>
      <c r="AS196" s="229"/>
      <c r="AT196" s="231"/>
      <c r="AU196" s="194"/>
      <c r="AV196" s="217"/>
      <c r="AW196" s="218"/>
      <c r="AX196" s="220" t="str">
        <f t="shared" ca="1" si="84"/>
        <v/>
      </c>
      <c r="AY196" s="195"/>
      <c r="AZ196" s="196"/>
      <c r="BA196" s="209" t="str">
        <f>IF(AND(OR(AY196="",AY196=0),OR(AY196="",AZ196=0)),"",IF(OR(AY196="",AY196=0),"DEFINIR PREÇO",IF(OR(AZ196="",AZ196=0),"DEFINIR FORNECEDOR",IF(OR(AY196&lt;&gt;"",AY196&lt;&gt;0),VLOOKUP(AZ196,#REF!,2,FALSE)))))</f>
        <v/>
      </c>
      <c r="BB196" s="194"/>
      <c r="BC196" s="194"/>
      <c r="BD196" s="220" t="str">
        <f t="shared" ca="1" si="85"/>
        <v/>
      </c>
      <c r="BE196" s="195"/>
      <c r="BF196" s="196"/>
      <c r="BG196" s="194"/>
      <c r="BH196" s="194"/>
      <c r="BI196" s="194"/>
      <c r="BJ196" s="197"/>
    </row>
    <row r="197" spans="1:62" ht="30" x14ac:dyDescent="0.25">
      <c r="A197" s="44" t="s">
        <v>405</v>
      </c>
      <c r="B197" s="58" t="s">
        <v>305</v>
      </c>
      <c r="C197" s="45">
        <v>4</v>
      </c>
      <c r="D197" s="55" t="s">
        <v>256</v>
      </c>
      <c r="E197" s="45" t="s">
        <v>23</v>
      </c>
      <c r="F197" s="46" t="str">
        <f>J197</f>
        <v>DEFINIR CRITÉRIO</v>
      </c>
      <c r="G197" s="47" t="str">
        <f>J197</f>
        <v>DEFINIR CRITÉRIO</v>
      </c>
      <c r="H197" s="240" t="s">
        <v>2000</v>
      </c>
      <c r="I197" s="240" t="s">
        <v>2001</v>
      </c>
      <c r="J197" s="242" t="str">
        <f>IFERROR(IF(N197&lt;&gt;"",M197,IF(I197 = PARÂMETROS!$B$5,Q197, IF(I197 = PARÂMETROS!$B$6,R197,IF(I197 = PARÂMETROS!$B$7,S197,IF(I197 = PARÂMETROS!$B$8, T197,"DEFINIR CRITÉRIO"))))),"SEM PREÇO")</f>
        <v>DEFINIR CRITÉRIO</v>
      </c>
      <c r="K197" s="241" t="str">
        <f t="shared" ref="K197:K260" si="87">IF(OR(J197="", J197="DEFINIR VALOR", J197="DEFINIR CRITÉRIO"),"",IFERROR(_xlfn.STDEV.P(AA197,AG197,AM197,AS197,AY197,BE197),0))</f>
        <v/>
      </c>
      <c r="L197" s="238" t="str">
        <f t="shared" ref="L197:L260" si="88">IF(OR(P197="", P197="DEFINIR VALOR", P197="DEFINIR CRITÉRIO",K197 = ""),"", IF(P197 = 0, "", K197/P197))</f>
        <v/>
      </c>
      <c r="M197" s="51"/>
      <c r="N197" s="52"/>
      <c r="O197" s="53"/>
      <c r="P197" s="235">
        <f t="shared" ref="P197:P260" si="89">IFERROR(AVERAGE(AA197,AG197,AM197,AS197,AY197,BE197),0)</f>
        <v>110.71</v>
      </c>
      <c r="Q197" s="236">
        <f t="shared" ref="Q197:Q260" si="90">IFERROR(AVERAGE(U197:Z197),0)</f>
        <v>0</v>
      </c>
      <c r="R197" s="236">
        <f t="shared" ref="R197:R260" si="91">IFERROR(MEDIAN(U197:Z197),0)</f>
        <v>0</v>
      </c>
      <c r="S197" s="236">
        <f t="shared" ref="S197:S260" si="92">IFERROR(SMALL(U197:Z197,1),0)</f>
        <v>0</v>
      </c>
      <c r="T197" s="236">
        <f t="shared" ref="T197:T260" si="93">IFERROR(_xlfn.MODE.SNGL(U197:Z197),0)</f>
        <v>0</v>
      </c>
      <c r="U197" s="237" t="e">
        <f>IF(AA197 = "", "", IF(OR($H197 = PARÂMETROS!$E$5, $H197 = ""), AA197, IF(OR(AA197 &lt; (1-VLOOKUP($H197,PARÂMETROS!$E:$F,2,FALSE))*$P197, AA197 &gt; (1+VLOOKUP($H197,PARÂMETROS!$E:$F,2,FALSE))*$P197),"",AA197)))</f>
        <v>#N/A</v>
      </c>
      <c r="V197" s="237" t="e">
        <f>IF(AG197 = "", "", IF(OR($H197 = PARÂMETROS!$E$5, $H197 = ""), AG197, IF(OR(AG197 &lt; (1-VLOOKUP($H197,PARÂMETROS!$E:$F,2,FALSE))*$P202, AG197 &gt; (1+VLOOKUP($H197,PARÂMETROS!$E:$F,2,FALSE))*$P197),"",AG197)))</f>
        <v>#N/A</v>
      </c>
      <c r="W197" s="237" t="e">
        <f>IF(AM197 = "", "", IF(OR($H197 = PARÂMETROS!$E$5, $H197 = ""), AM197, IF(OR(AM197 &lt; (1-VLOOKUP($H197,PARÂMETROS!$E:$F,2,FALSE))*$P197, AM197 &gt; (1+VLOOKUP($H197,PARÂMETROS!$E:$F,2,FALSE))*$P197),"",AM197)))</f>
        <v>#N/A</v>
      </c>
      <c r="X197" s="237" t="str">
        <f>IF(AS197 = "", "", IF(OR($H197 = PARÂMETROS!$E$5, $H197 = ""), AS197, IF(OR(AS197 &lt; (1-VLOOKUP($H197,PARÂMETROS!$E:$F,2,FALSE))*$P197, AS197 &gt; (1+VLOOKUP($H197,PARÂMETROS!$E:$F,2,FALSE))*$P197),"",AS197)))</f>
        <v/>
      </c>
      <c r="Y197" s="237" t="str">
        <f>IF(AY197 = "", "", IF(OR($H197 = PARÂMETROS!$E$5, $H197 = ""), AY197, IF(OR(AY197 &lt; (1-VLOOKUP($H197,PARÂMETROS!$E:$F,2,FALSE))*$P197, AY197 &gt; (1+VLOOKUP($H197,PARÂMETROS!$E:$F,2,FALSE))*$P197),"",AY197)))</f>
        <v/>
      </c>
      <c r="Z197" s="237" t="str">
        <f>IF(BE197 = "", "", IF(OR($H197 = PARÂMETROS!$E$5, $H197 = ""), BE197, IF(OR(BE197 &lt; (1-VLOOKUP($H197,PARÂMETROS!$E:$F,2,FALSE))*$P197, BE197 &gt; (1+VLOOKUP($H197,PARÂMETROS!$E:$F,2,FALSE))*$P197),"",BE197)))</f>
        <v/>
      </c>
      <c r="AA197" s="207">
        <v>44.9</v>
      </c>
      <c r="AB197" s="208">
        <v>264</v>
      </c>
      <c r="AC197" s="206" t="e">
        <f>IF(AND(OR(AA197="",AA197=0),OR(AA197="",AB197=0)),"",IF(OR(AA197="",AA197=0),"DEFINIR PREÇO",IF(OR(AB197="",AB197=0),"DEFINIR FORNECEDOR",IF(OR(AA197&lt;&gt;"",AA197&lt;&gt;0),VLOOKUP(AB197,#REF!,2,FALSE)))))</f>
        <v>#REF!</v>
      </c>
      <c r="AD197" s="217" t="s">
        <v>1977</v>
      </c>
      <c r="AE197" s="218">
        <v>44932</v>
      </c>
      <c r="AF197" s="220" t="str">
        <f t="shared" ca="1" si="81"/>
        <v>DESATUALIZADA</v>
      </c>
      <c r="AG197" s="229">
        <v>98.23</v>
      </c>
      <c r="AH197" s="231">
        <v>1829</v>
      </c>
      <c r="AI197" s="206" t="e">
        <f>IF(AND(OR(AG197="",AG197=0),OR(AG197="",AH197=0)),"",IF(OR(AG197="",AG197=0),"DEFINIR PREÇO",IF(OR(AH197="",AH197=0),"DEFINIR FORNECEDOR",IF(OR(AG197&lt;&gt;"",AG197&lt;&gt;0),VLOOKUP(AH197,#REF!,2,FALSE)))))</f>
        <v>#REF!</v>
      </c>
      <c r="AJ197" s="217" t="s">
        <v>1977</v>
      </c>
      <c r="AK197" s="218">
        <v>44932</v>
      </c>
      <c r="AL197" s="220" t="str">
        <f t="shared" ca="1" si="82"/>
        <v>DESATUALIZADA</v>
      </c>
      <c r="AM197" s="229">
        <v>189</v>
      </c>
      <c r="AN197" s="231">
        <v>1608</v>
      </c>
      <c r="AO197" s="206" t="e">
        <f>IF(AND(OR(AM197="",AM197=0),OR(AM197="",AN197=0)),"",IF(OR(AM197="",AM197=0),"DEFINIR PREÇO",IF(OR(AN197="",AN197=0),"DEFINIR FORNECEDOR",IF(OR(AM197&lt;&gt;"",AM197&lt;&gt;0),VLOOKUP(AN197,#REF!,2,FALSE)))))</f>
        <v>#REF!</v>
      </c>
      <c r="AP197" s="217" t="s">
        <v>1977</v>
      </c>
      <c r="AQ197" s="218">
        <v>44932</v>
      </c>
      <c r="AR197" s="220" t="str">
        <f t="shared" ca="1" si="83"/>
        <v>DESATUALIZADA</v>
      </c>
      <c r="AS197" s="229"/>
      <c r="AT197" s="231"/>
      <c r="AU197" s="194"/>
      <c r="AV197" s="217"/>
      <c r="AW197" s="218"/>
      <c r="AX197" s="220" t="str">
        <f t="shared" ca="1" si="84"/>
        <v/>
      </c>
      <c r="AY197" s="195"/>
      <c r="AZ197" s="196"/>
      <c r="BA197" s="209" t="str">
        <f>IF(AND(OR(AY197="",AY197=0),OR(AY197="",AZ197=0)),"",IF(OR(AY197="",AY197=0),"DEFINIR PREÇO",IF(OR(AZ197="",AZ197=0),"DEFINIR FORNECEDOR",IF(OR(AY197&lt;&gt;"",AY197&lt;&gt;0),VLOOKUP(AZ197,#REF!,2,FALSE)))))</f>
        <v/>
      </c>
      <c r="BB197" s="194"/>
      <c r="BC197" s="194"/>
      <c r="BD197" s="220" t="str">
        <f t="shared" ca="1" si="85"/>
        <v/>
      </c>
      <c r="BE197" s="195"/>
      <c r="BF197" s="196"/>
      <c r="BG197" s="194"/>
      <c r="BH197" s="194"/>
      <c r="BI197" s="194"/>
      <c r="BJ197" s="197"/>
    </row>
    <row r="198" spans="1:62" x14ac:dyDescent="0.25">
      <c r="A198" s="44" t="s">
        <v>405</v>
      </c>
      <c r="B198" s="58" t="s">
        <v>191</v>
      </c>
      <c r="C198" s="45">
        <v>1</v>
      </c>
      <c r="D198" s="55" t="s">
        <v>178</v>
      </c>
      <c r="E198" s="45" t="s">
        <v>21</v>
      </c>
      <c r="F198" s="46" t="e">
        <f>VLOOKUP(N198,#REF!,4,FALSE)</f>
        <v>#REF!</v>
      </c>
      <c r="G198" s="47" t="e">
        <f>VLOOKUP(N198,#REF!,5,FALSE)</f>
        <v>#REF!</v>
      </c>
      <c r="H198" s="240" t="s">
        <v>2000</v>
      </c>
      <c r="I198" s="240" t="s">
        <v>2001</v>
      </c>
      <c r="J198" s="242" t="str">
        <f>IFERROR(IF(N198&lt;&gt;"",M198,IF(I198 = PARÂMETROS!$B$5,Q198, IF(I198 = PARÂMETROS!$B$6,R198,IF(I198 = PARÂMETROS!$B$7,S198,IF(I198 = PARÂMETROS!$B$8, T198,"DEFINIR CRITÉRIO"))))),"SEM PREÇO")</f>
        <v>SEM PREÇO</v>
      </c>
      <c r="K198" s="241">
        <f t="shared" si="87"/>
        <v>0</v>
      </c>
      <c r="L198" s="238" t="str">
        <f t="shared" si="88"/>
        <v/>
      </c>
      <c r="M198" s="180" t="e">
        <f>F198</f>
        <v>#REF!</v>
      </c>
      <c r="N198" s="52" t="s">
        <v>1274</v>
      </c>
      <c r="O198" s="53" t="s">
        <v>422</v>
      </c>
      <c r="P198" s="235">
        <f t="shared" si="89"/>
        <v>0</v>
      </c>
      <c r="Q198" s="236">
        <f t="shared" si="90"/>
        <v>0</v>
      </c>
      <c r="R198" s="236">
        <f t="shared" si="91"/>
        <v>0</v>
      </c>
      <c r="S198" s="236">
        <f t="shared" si="92"/>
        <v>0</v>
      </c>
      <c r="T198" s="236">
        <f t="shared" si="93"/>
        <v>0</v>
      </c>
      <c r="U198" s="237" t="str">
        <f>IF(AA198 = "", "", IF(OR($H198 = PARÂMETROS!$E$5, $H198 = ""), AA198, IF(OR(AA198 &lt; (1-VLOOKUP($H198,PARÂMETROS!$E:$F,2,FALSE))*$P198, AA198 &gt; (1+VLOOKUP($H198,PARÂMETROS!$E:$F,2,FALSE))*$P198),"",AA198)))</f>
        <v/>
      </c>
      <c r="V198" s="237" t="str">
        <f>IF(AG198 = "", "", IF(OR($H198 = PARÂMETROS!$E$5, $H198 = ""), AG198, IF(OR(AG198 &lt; (1-VLOOKUP($H198,PARÂMETROS!$E:$F,2,FALSE))*$P203, AG198 &gt; (1+VLOOKUP($H198,PARÂMETROS!$E:$F,2,FALSE))*$P198),"",AG198)))</f>
        <v/>
      </c>
      <c r="W198" s="237" t="str">
        <f>IF(AM198 = "", "", IF(OR($H198 = PARÂMETROS!$E$5, $H198 = ""), AM198, IF(OR(AM198 &lt; (1-VLOOKUP($H198,PARÂMETROS!$E:$F,2,FALSE))*$P198, AM198 &gt; (1+VLOOKUP($H198,PARÂMETROS!$E:$F,2,FALSE))*$P198),"",AM198)))</f>
        <v/>
      </c>
      <c r="X198" s="237" t="str">
        <f>IF(AS198 = "", "", IF(OR($H198 = PARÂMETROS!$E$5, $H198 = ""), AS198, IF(OR(AS198 &lt; (1-VLOOKUP($H198,PARÂMETROS!$E:$F,2,FALSE))*$P198, AS198 &gt; (1+VLOOKUP($H198,PARÂMETROS!$E:$F,2,FALSE))*$P198),"",AS198)))</f>
        <v/>
      </c>
      <c r="Y198" s="237" t="str">
        <f>IF(AY198 = "", "", IF(OR($H198 = PARÂMETROS!$E$5, $H198 = ""), AY198, IF(OR(AY198 &lt; (1-VLOOKUP($H198,PARÂMETROS!$E:$F,2,FALSE))*$P198, AY198 &gt; (1+VLOOKUP($H198,PARÂMETROS!$E:$F,2,FALSE))*$P198),"",AY198)))</f>
        <v/>
      </c>
      <c r="Z198" s="237" t="str">
        <f>IF(BE198 = "", "", IF(OR($H198 = PARÂMETROS!$E$5, $H198 = ""), BE198, IF(OR(BE198 &lt; (1-VLOOKUP($H198,PARÂMETROS!$E:$F,2,FALSE))*$P198, BE198 &gt; (1+VLOOKUP($H198,PARÂMETROS!$E:$F,2,FALSE))*$P198),"",BE198)))</f>
        <v/>
      </c>
      <c r="AA198" s="207"/>
      <c r="AB198" s="208"/>
      <c r="AC198" s="206" t="str">
        <f>IF(AND(OR(AA198="",AA198=0),OR(AA198="",AB198=0)),"",IF(OR(AA198="",AA198=0),"DEFINIR PREÇO",IF(OR(AB198="",AB198=0),"DEFINIR FORNECEDOR",IF(OR(AA198&lt;&gt;"",AA198&lt;&gt;0),VLOOKUP(AB198,#REF!,2,FALSE)))))</f>
        <v/>
      </c>
      <c r="AD198" s="217"/>
      <c r="AE198" s="218"/>
      <c r="AF198" s="220" t="str">
        <f t="shared" ref="AF198:AF258" ca="1" si="94">IF(AE198 = "", "", IF(AE198 + 180 &gt; TODAY(),"VIGENTE", "DESATUALIZADA"))</f>
        <v/>
      </c>
      <c r="AG198" s="229"/>
      <c r="AH198" s="231"/>
      <c r="AI198" s="206" t="str">
        <f>IF(AND(OR(AG198="",AG198=0),OR(AG198="",AH198=0)),"",IF(OR(AG198="",AG198=0),"DEFINIR PREÇO",IF(OR(AH198="",AH198=0),"DEFINIR FORNECEDOR",IF(OR(AG198&lt;&gt;"",AG198&lt;&gt;0),VLOOKUP(AH198,#REF!,2,FALSE)))))</f>
        <v/>
      </c>
      <c r="AJ198" s="217"/>
      <c r="AK198" s="218"/>
      <c r="AL198" s="220" t="str">
        <f t="shared" ref="AL198:AL258" ca="1" si="95">IF(AK198 = "", "", IF(AK198 + 180 &gt; TODAY(),"VIGENTE", "DESATUALIZADA"))</f>
        <v/>
      </c>
      <c r="AM198" s="229"/>
      <c r="AN198" s="231"/>
      <c r="AO198" s="206" t="str">
        <f>IF(AND(OR(AM198="",AM198=0),OR(AM198="",AN198=0)),"",IF(OR(AM198="",AM198=0),"DEFINIR PREÇO",IF(OR(AN198="",AN198=0),"DEFINIR FORNECEDOR",IF(OR(AM198&lt;&gt;"",AM198&lt;&gt;0),VLOOKUP(AN198,#REF!,2,FALSE)))))</f>
        <v/>
      </c>
      <c r="AP198" s="217"/>
      <c r="AQ198" s="218"/>
      <c r="AR198" s="220" t="str">
        <f t="shared" ref="AR198:AR258" ca="1" si="96">IF(AQ198 = "", "", IF(AQ198 + 180 &gt; TODAY(),"VIGENTE", "DESATUALIZADA"))</f>
        <v/>
      </c>
      <c r="AS198" s="229"/>
      <c r="AT198" s="231"/>
      <c r="AU198" s="194"/>
      <c r="AV198" s="217"/>
      <c r="AW198" s="218"/>
      <c r="AX198" s="220" t="str">
        <f t="shared" ref="AX198:AX258" ca="1" si="97">IF(AW198 = "", "", IF(AW198 + 180 &gt; TODAY(),"VIGENTE", "DESATUALIZADA"))</f>
        <v/>
      </c>
      <c r="AY198" s="195"/>
      <c r="AZ198" s="196"/>
      <c r="BA198" s="209" t="str">
        <f>IF(AND(OR(AY198="",AY198=0),OR(AY198="",AZ198=0)),"",IF(OR(AY198="",AY198=0),"DEFINIR PREÇO",IF(OR(AZ198="",AZ198=0),"DEFINIR FORNECEDOR",IF(OR(AY198&lt;&gt;"",AY198&lt;&gt;0),VLOOKUP(AZ198,#REF!,2,FALSE)))))</f>
        <v/>
      </c>
      <c r="BB198" s="194"/>
      <c r="BC198" s="194"/>
      <c r="BD198" s="220" t="str">
        <f t="shared" ref="BD198:BD258" ca="1" si="98">IF(BC198 = "", "", IF(BC198 + 180 &gt; TODAY(),"VIGENTE", "DESATUALIZADA"))</f>
        <v/>
      </c>
      <c r="BE198" s="195"/>
      <c r="BF198" s="196"/>
      <c r="BG198" s="194"/>
      <c r="BH198" s="194"/>
      <c r="BI198" s="194"/>
      <c r="BJ198" s="197"/>
    </row>
    <row r="199" spans="1:62" ht="25.5" x14ac:dyDescent="0.25">
      <c r="A199" s="44" t="s">
        <v>405</v>
      </c>
      <c r="B199" s="58" t="s">
        <v>177</v>
      </c>
      <c r="C199" s="45">
        <v>1</v>
      </c>
      <c r="D199" s="55" t="s">
        <v>170</v>
      </c>
      <c r="E199" s="45" t="s">
        <v>21</v>
      </c>
      <c r="F199" s="46" t="e">
        <f>VLOOKUP(N199,#REF!,4,FALSE)</f>
        <v>#REF!</v>
      </c>
      <c r="G199" s="47" t="e">
        <f>VLOOKUP(N199,#REF!,5,FALSE)</f>
        <v>#REF!</v>
      </c>
      <c r="H199" s="240" t="s">
        <v>2000</v>
      </c>
      <c r="I199" s="240" t="s">
        <v>2001</v>
      </c>
      <c r="J199" s="242" t="str">
        <f>IFERROR(IF(N199&lt;&gt;"",M199,IF(I199 = PARÂMETROS!$B$5,Q199, IF(I199 = PARÂMETROS!$B$6,R199,IF(I199 = PARÂMETROS!$B$7,S199,IF(I199 = PARÂMETROS!$B$8, T199,"DEFINIR CRITÉRIO"))))),"SEM PREÇO")</f>
        <v>SEM PREÇO</v>
      </c>
      <c r="K199" s="241">
        <f t="shared" si="87"/>
        <v>0</v>
      </c>
      <c r="L199" s="238" t="str">
        <f t="shared" si="88"/>
        <v/>
      </c>
      <c r="M199" s="180" t="e">
        <f>F199</f>
        <v>#REF!</v>
      </c>
      <c r="N199" s="151">
        <v>2270019003001</v>
      </c>
      <c r="O199" s="53" t="s">
        <v>1273</v>
      </c>
      <c r="P199" s="235">
        <f t="shared" si="89"/>
        <v>0</v>
      </c>
      <c r="Q199" s="236">
        <f t="shared" si="90"/>
        <v>0</v>
      </c>
      <c r="R199" s="236">
        <f t="shared" si="91"/>
        <v>0</v>
      </c>
      <c r="S199" s="236">
        <f t="shared" si="92"/>
        <v>0</v>
      </c>
      <c r="T199" s="236">
        <f t="shared" si="93"/>
        <v>0</v>
      </c>
      <c r="U199" s="237" t="str">
        <f>IF(AA199 = "", "", IF(OR($H199 = PARÂMETROS!$E$5, $H199 = ""), AA199, IF(OR(AA199 &lt; (1-VLOOKUP($H199,PARÂMETROS!$E:$F,2,FALSE))*$P199, AA199 &gt; (1+VLOOKUP($H199,PARÂMETROS!$E:$F,2,FALSE))*$P199),"",AA199)))</f>
        <v/>
      </c>
      <c r="V199" s="237" t="str">
        <f>IF(AG199 = "", "", IF(OR($H199 = PARÂMETROS!$E$5, $H199 = ""), AG199, IF(OR(AG199 &lt; (1-VLOOKUP($H199,PARÂMETROS!$E:$F,2,FALSE))*$P204, AG199 &gt; (1+VLOOKUP($H199,PARÂMETROS!$E:$F,2,FALSE))*$P199),"",AG199)))</f>
        <v/>
      </c>
      <c r="W199" s="237" t="str">
        <f>IF(AM199 = "", "", IF(OR($H199 = PARÂMETROS!$E$5, $H199 = ""), AM199, IF(OR(AM199 &lt; (1-VLOOKUP($H199,PARÂMETROS!$E:$F,2,FALSE))*$P199, AM199 &gt; (1+VLOOKUP($H199,PARÂMETROS!$E:$F,2,FALSE))*$P199),"",AM199)))</f>
        <v/>
      </c>
      <c r="X199" s="237" t="str">
        <f>IF(AS199 = "", "", IF(OR($H199 = PARÂMETROS!$E$5, $H199 = ""), AS199, IF(OR(AS199 &lt; (1-VLOOKUP($H199,PARÂMETROS!$E:$F,2,FALSE))*$P199, AS199 &gt; (1+VLOOKUP($H199,PARÂMETROS!$E:$F,2,FALSE))*$P199),"",AS199)))</f>
        <v/>
      </c>
      <c r="Y199" s="237" t="str">
        <f>IF(AY199 = "", "", IF(OR($H199 = PARÂMETROS!$E$5, $H199 = ""), AY199, IF(OR(AY199 &lt; (1-VLOOKUP($H199,PARÂMETROS!$E:$F,2,FALSE))*$P199, AY199 &gt; (1+VLOOKUP($H199,PARÂMETROS!$E:$F,2,FALSE))*$P199),"",AY199)))</f>
        <v/>
      </c>
      <c r="Z199" s="237" t="str">
        <f>IF(BE199 = "", "", IF(OR($H199 = PARÂMETROS!$E$5, $H199 = ""), BE199, IF(OR(BE199 &lt; (1-VLOOKUP($H199,PARÂMETROS!$E:$F,2,FALSE))*$P199, BE199 &gt; (1+VLOOKUP($H199,PARÂMETROS!$E:$F,2,FALSE))*$P199),"",BE199)))</f>
        <v/>
      </c>
      <c r="AA199" s="207"/>
      <c r="AB199" s="208"/>
      <c r="AC199" s="206" t="str">
        <f>IF(AND(OR(AA199="",AA199=0),OR(AA199="",AB199=0)),"",IF(OR(AA199="",AA199=0),"DEFINIR PREÇO",IF(OR(AB199="",AB199=0),"DEFINIR FORNECEDOR",IF(OR(AA199&lt;&gt;"",AA199&lt;&gt;0),VLOOKUP(AB199,#REF!,2,FALSE)))))</f>
        <v/>
      </c>
      <c r="AD199" s="217"/>
      <c r="AE199" s="218"/>
      <c r="AF199" s="220" t="str">
        <f t="shared" ca="1" si="94"/>
        <v/>
      </c>
      <c r="AG199" s="229"/>
      <c r="AH199" s="231"/>
      <c r="AI199" s="206" t="str">
        <f>IF(AND(OR(AG199="",AG199=0),OR(AG199="",AH199=0)),"",IF(OR(AG199="",AG199=0),"DEFINIR PREÇO",IF(OR(AH199="",AH199=0),"DEFINIR FORNECEDOR",IF(OR(AG199&lt;&gt;"",AG199&lt;&gt;0),VLOOKUP(AH199,#REF!,2,FALSE)))))</f>
        <v/>
      </c>
      <c r="AJ199" s="217"/>
      <c r="AK199" s="218"/>
      <c r="AL199" s="220" t="str">
        <f t="shared" ca="1" si="95"/>
        <v/>
      </c>
      <c r="AM199" s="229"/>
      <c r="AN199" s="231"/>
      <c r="AO199" s="206" t="str">
        <f>IF(AND(OR(AM199="",AM199=0),OR(AM199="",AN199=0)),"",IF(OR(AM199="",AM199=0),"DEFINIR PREÇO",IF(OR(AN199="",AN199=0),"DEFINIR FORNECEDOR",IF(OR(AM199&lt;&gt;"",AM199&lt;&gt;0),VLOOKUP(AN199,#REF!,2,FALSE)))))</f>
        <v/>
      </c>
      <c r="AP199" s="217"/>
      <c r="AQ199" s="218"/>
      <c r="AR199" s="220" t="str">
        <f t="shared" ca="1" si="96"/>
        <v/>
      </c>
      <c r="AS199" s="229"/>
      <c r="AT199" s="231"/>
      <c r="AU199" s="194"/>
      <c r="AV199" s="217"/>
      <c r="AW199" s="218"/>
      <c r="AX199" s="220" t="str">
        <f t="shared" ca="1" si="97"/>
        <v/>
      </c>
      <c r="AY199" s="195"/>
      <c r="AZ199" s="196"/>
      <c r="BA199" s="209" t="str">
        <f>IF(AND(OR(AY199="",AY199=0),OR(AY199="",AZ199=0)),"",IF(OR(AY199="",AY199=0),"DEFINIR PREÇO",IF(OR(AZ199="",AZ199=0),"DEFINIR FORNECEDOR",IF(OR(AY199&lt;&gt;"",AY199&lt;&gt;0),VLOOKUP(AZ199,#REF!,2,FALSE)))))</f>
        <v/>
      </c>
      <c r="BB199" s="194"/>
      <c r="BC199" s="194"/>
      <c r="BD199" s="220" t="str">
        <f t="shared" ca="1" si="98"/>
        <v/>
      </c>
      <c r="BE199" s="195"/>
      <c r="BF199" s="196"/>
      <c r="BG199" s="194"/>
      <c r="BH199" s="194"/>
      <c r="BI199" s="194"/>
      <c r="BJ199" s="197"/>
    </row>
    <row r="200" spans="1:62" ht="25.5" x14ac:dyDescent="0.25">
      <c r="A200" s="44" t="s">
        <v>405</v>
      </c>
      <c r="B200" s="58" t="s">
        <v>186</v>
      </c>
      <c r="C200" s="45">
        <v>1</v>
      </c>
      <c r="D200" s="55" t="s">
        <v>175</v>
      </c>
      <c r="E200" s="45" t="s">
        <v>21</v>
      </c>
      <c r="F200" s="46" t="e">
        <f>VLOOKUP(N200,#REF!,4,FALSE)</f>
        <v>#REF!</v>
      </c>
      <c r="G200" s="47" t="e">
        <f>VLOOKUP(N200,#REF!,5,FALSE)</f>
        <v>#REF!</v>
      </c>
      <c r="H200" s="240" t="s">
        <v>2000</v>
      </c>
      <c r="I200" s="240" t="s">
        <v>2001</v>
      </c>
      <c r="J200" s="242" t="str">
        <f>IFERROR(IF(N200&lt;&gt;"",M200,IF(I200 = PARÂMETROS!$B$5,Q200, IF(I200 = PARÂMETROS!$B$6,R200,IF(I200 = PARÂMETROS!$B$7,S200,IF(I200 = PARÂMETROS!$B$8, T200,"DEFINIR CRITÉRIO"))))),"SEM PREÇO")</f>
        <v>SEM PREÇO</v>
      </c>
      <c r="K200" s="241">
        <f t="shared" si="87"/>
        <v>0</v>
      </c>
      <c r="L200" s="238" t="str">
        <f t="shared" si="88"/>
        <v/>
      </c>
      <c r="M200" s="180" t="e">
        <f>F200</f>
        <v>#REF!</v>
      </c>
      <c r="N200" s="151">
        <v>2207219003003</v>
      </c>
      <c r="O200" s="53" t="s">
        <v>1273</v>
      </c>
      <c r="P200" s="235">
        <f t="shared" si="89"/>
        <v>0</v>
      </c>
      <c r="Q200" s="236">
        <f t="shared" si="90"/>
        <v>0</v>
      </c>
      <c r="R200" s="236">
        <f t="shared" si="91"/>
        <v>0</v>
      </c>
      <c r="S200" s="236">
        <f t="shared" si="92"/>
        <v>0</v>
      </c>
      <c r="T200" s="236">
        <f t="shared" si="93"/>
        <v>0</v>
      </c>
      <c r="U200" s="237" t="str">
        <f>IF(AA200 = "", "", IF(OR($H200 = PARÂMETROS!$E$5, $H200 = ""), AA200, IF(OR(AA200 &lt; (1-VLOOKUP($H200,PARÂMETROS!$E:$F,2,FALSE))*$P200, AA200 &gt; (1+VLOOKUP($H200,PARÂMETROS!$E:$F,2,FALSE))*$P200),"",AA200)))</f>
        <v/>
      </c>
      <c r="V200" s="237" t="str">
        <f>IF(AG200 = "", "", IF(OR($H200 = PARÂMETROS!$E$5, $H200 = ""), AG200, IF(OR(AG200 &lt; (1-VLOOKUP($H200,PARÂMETROS!$E:$F,2,FALSE))*$P205, AG200 &gt; (1+VLOOKUP($H200,PARÂMETROS!$E:$F,2,FALSE))*$P200),"",AG200)))</f>
        <v/>
      </c>
      <c r="W200" s="237" t="str">
        <f>IF(AM200 = "", "", IF(OR($H200 = PARÂMETROS!$E$5, $H200 = ""), AM200, IF(OR(AM200 &lt; (1-VLOOKUP($H200,PARÂMETROS!$E:$F,2,FALSE))*$P200, AM200 &gt; (1+VLOOKUP($H200,PARÂMETROS!$E:$F,2,FALSE))*$P200),"",AM200)))</f>
        <v/>
      </c>
      <c r="X200" s="237" t="str">
        <f>IF(AS200 = "", "", IF(OR($H200 = PARÂMETROS!$E$5, $H200 = ""), AS200, IF(OR(AS200 &lt; (1-VLOOKUP($H200,PARÂMETROS!$E:$F,2,FALSE))*$P200, AS200 &gt; (1+VLOOKUP($H200,PARÂMETROS!$E:$F,2,FALSE))*$P200),"",AS200)))</f>
        <v/>
      </c>
      <c r="Y200" s="237" t="str">
        <f>IF(AY200 = "", "", IF(OR($H200 = PARÂMETROS!$E$5, $H200 = ""), AY200, IF(OR(AY200 &lt; (1-VLOOKUP($H200,PARÂMETROS!$E:$F,2,FALSE))*$P200, AY200 &gt; (1+VLOOKUP($H200,PARÂMETROS!$E:$F,2,FALSE))*$P200),"",AY200)))</f>
        <v/>
      </c>
      <c r="Z200" s="237" t="str">
        <f>IF(BE200 = "", "", IF(OR($H200 = PARÂMETROS!$E$5, $H200 = ""), BE200, IF(OR(BE200 &lt; (1-VLOOKUP($H200,PARÂMETROS!$E:$F,2,FALSE))*$P200, BE200 &gt; (1+VLOOKUP($H200,PARÂMETROS!$E:$F,2,FALSE))*$P200),"",BE200)))</f>
        <v/>
      </c>
      <c r="AA200" s="207"/>
      <c r="AB200" s="208"/>
      <c r="AC200" s="206" t="str">
        <f>IF(AND(OR(AA200="",AA200=0),OR(AA200="",AB200=0)),"",IF(OR(AA200="",AA200=0),"DEFINIR PREÇO",IF(OR(AB200="",AB200=0),"DEFINIR FORNECEDOR",IF(OR(AA200&lt;&gt;"",AA200&lt;&gt;0),VLOOKUP(AB200,#REF!,2,FALSE)))))</f>
        <v/>
      </c>
      <c r="AD200" s="217"/>
      <c r="AE200" s="218"/>
      <c r="AF200" s="220" t="str">
        <f t="shared" ca="1" si="94"/>
        <v/>
      </c>
      <c r="AG200" s="229"/>
      <c r="AH200" s="231"/>
      <c r="AI200" s="206" t="str">
        <f>IF(AND(OR(AG200="",AG200=0),OR(AG200="",AH200=0)),"",IF(OR(AG200="",AG200=0),"DEFINIR PREÇO",IF(OR(AH200="",AH200=0),"DEFINIR FORNECEDOR",IF(OR(AG200&lt;&gt;"",AG200&lt;&gt;0),VLOOKUP(AH200,#REF!,2,FALSE)))))</f>
        <v/>
      </c>
      <c r="AJ200" s="217"/>
      <c r="AK200" s="218"/>
      <c r="AL200" s="220" t="str">
        <f t="shared" ca="1" si="95"/>
        <v/>
      </c>
      <c r="AM200" s="229"/>
      <c r="AN200" s="231"/>
      <c r="AO200" s="206" t="str">
        <f>IF(AND(OR(AM200="",AM200=0),OR(AM200="",AN200=0)),"",IF(OR(AM200="",AM200=0),"DEFINIR PREÇO",IF(OR(AN200="",AN200=0),"DEFINIR FORNECEDOR",IF(OR(AM200&lt;&gt;"",AM200&lt;&gt;0),VLOOKUP(AN200,#REF!,2,FALSE)))))</f>
        <v/>
      </c>
      <c r="AP200" s="217"/>
      <c r="AQ200" s="218"/>
      <c r="AR200" s="220" t="str">
        <f t="shared" ca="1" si="96"/>
        <v/>
      </c>
      <c r="AS200" s="229"/>
      <c r="AT200" s="231"/>
      <c r="AU200" s="194"/>
      <c r="AV200" s="217"/>
      <c r="AW200" s="218"/>
      <c r="AX200" s="220" t="str">
        <f t="shared" ca="1" si="97"/>
        <v/>
      </c>
      <c r="AY200" s="195"/>
      <c r="AZ200" s="196"/>
      <c r="BA200" s="209" t="str">
        <f>IF(AND(OR(AY200="",AY200=0),OR(AY200="",AZ200=0)),"",IF(OR(AY200="",AY200=0),"DEFINIR PREÇO",IF(OR(AZ200="",AZ200=0),"DEFINIR FORNECEDOR",IF(OR(AY200&lt;&gt;"",AY200&lt;&gt;0),VLOOKUP(AZ200,#REF!,2,FALSE)))))</f>
        <v/>
      </c>
      <c r="BB200" s="194"/>
      <c r="BC200" s="194"/>
      <c r="BD200" s="220" t="str">
        <f t="shared" ca="1" si="98"/>
        <v/>
      </c>
      <c r="BE200" s="195"/>
      <c r="BF200" s="196"/>
      <c r="BG200" s="194"/>
      <c r="BH200" s="194"/>
      <c r="BI200" s="194"/>
      <c r="BJ200" s="197"/>
    </row>
    <row r="201" spans="1:62" ht="25.5" x14ac:dyDescent="0.25">
      <c r="A201" s="44" t="s">
        <v>405</v>
      </c>
      <c r="B201" s="58" t="s">
        <v>188</v>
      </c>
      <c r="C201" s="45">
        <v>1</v>
      </c>
      <c r="D201" s="55" t="s">
        <v>1363</v>
      </c>
      <c r="E201" s="45" t="s">
        <v>21</v>
      </c>
      <c r="F201" s="46" t="e">
        <f>VLOOKUP(N201,#REF!,4,FALSE)</f>
        <v>#REF!</v>
      </c>
      <c r="G201" s="47" t="e">
        <f>VLOOKUP(N201,#REF!,5,FALSE)</f>
        <v>#REF!</v>
      </c>
      <c r="H201" s="240" t="s">
        <v>2000</v>
      </c>
      <c r="I201" s="240" t="s">
        <v>2001</v>
      </c>
      <c r="J201" s="242" t="str">
        <f>IFERROR(IF(N201&lt;&gt;"",M201,IF(I201 = PARÂMETROS!$B$5,Q201, IF(I201 = PARÂMETROS!$B$6,R201,IF(I201 = PARÂMETROS!$B$7,S201,IF(I201 = PARÂMETROS!$B$8, T201,"DEFINIR CRITÉRIO"))))),"SEM PREÇO")</f>
        <v>SEM PREÇO</v>
      </c>
      <c r="K201" s="241">
        <f t="shared" si="87"/>
        <v>0</v>
      </c>
      <c r="L201" s="238" t="str">
        <f t="shared" si="88"/>
        <v/>
      </c>
      <c r="M201" s="180" t="e">
        <f>F201</f>
        <v>#REF!</v>
      </c>
      <c r="N201" s="151">
        <v>2207219003005</v>
      </c>
      <c r="O201" s="53" t="s">
        <v>1273</v>
      </c>
      <c r="P201" s="235">
        <f t="shared" si="89"/>
        <v>0</v>
      </c>
      <c r="Q201" s="236">
        <f t="shared" si="90"/>
        <v>0</v>
      </c>
      <c r="R201" s="236">
        <f t="shared" si="91"/>
        <v>0</v>
      </c>
      <c r="S201" s="236">
        <f t="shared" si="92"/>
        <v>0</v>
      </c>
      <c r="T201" s="236">
        <f t="shared" si="93"/>
        <v>0</v>
      </c>
      <c r="U201" s="237" t="str">
        <f>IF(AA201 = "", "", IF(OR($H201 = PARÂMETROS!$E$5, $H201 = ""), AA201, IF(OR(AA201 &lt; (1-VLOOKUP($H201,PARÂMETROS!$E:$F,2,FALSE))*$P201, AA201 &gt; (1+VLOOKUP($H201,PARÂMETROS!$E:$F,2,FALSE))*$P201),"",AA201)))</f>
        <v/>
      </c>
      <c r="V201" s="237" t="str">
        <f>IF(AG201 = "", "", IF(OR($H201 = PARÂMETROS!$E$5, $H201 = ""), AG201, IF(OR(AG201 &lt; (1-VLOOKUP($H201,PARÂMETROS!$E:$F,2,FALSE))*$P206, AG201 &gt; (1+VLOOKUP($H201,PARÂMETROS!$E:$F,2,FALSE))*$P201),"",AG201)))</f>
        <v/>
      </c>
      <c r="W201" s="237" t="str">
        <f>IF(AM201 = "", "", IF(OR($H201 = PARÂMETROS!$E$5, $H201 = ""), AM201, IF(OR(AM201 &lt; (1-VLOOKUP($H201,PARÂMETROS!$E:$F,2,FALSE))*$P201, AM201 &gt; (1+VLOOKUP($H201,PARÂMETROS!$E:$F,2,FALSE))*$P201),"",AM201)))</f>
        <v/>
      </c>
      <c r="X201" s="237" t="str">
        <f>IF(AS201 = "", "", IF(OR($H201 = PARÂMETROS!$E$5, $H201 = ""), AS201, IF(OR(AS201 &lt; (1-VLOOKUP($H201,PARÂMETROS!$E:$F,2,FALSE))*$P201, AS201 &gt; (1+VLOOKUP($H201,PARÂMETROS!$E:$F,2,FALSE))*$P201),"",AS201)))</f>
        <v/>
      </c>
      <c r="Y201" s="237" t="str">
        <f>IF(AY201 = "", "", IF(OR($H201 = PARÂMETROS!$E$5, $H201 = ""), AY201, IF(OR(AY201 &lt; (1-VLOOKUP($H201,PARÂMETROS!$E:$F,2,FALSE))*$P201, AY201 &gt; (1+VLOOKUP($H201,PARÂMETROS!$E:$F,2,FALSE))*$P201),"",AY201)))</f>
        <v/>
      </c>
      <c r="Z201" s="237" t="str">
        <f>IF(BE201 = "", "", IF(OR($H201 = PARÂMETROS!$E$5, $H201 = ""), BE201, IF(OR(BE201 &lt; (1-VLOOKUP($H201,PARÂMETROS!$E:$F,2,FALSE))*$P201, BE201 &gt; (1+VLOOKUP($H201,PARÂMETROS!$E:$F,2,FALSE))*$P201),"",BE201)))</f>
        <v/>
      </c>
      <c r="AA201" s="207"/>
      <c r="AB201" s="208"/>
      <c r="AC201" s="206" t="str">
        <f>IF(AND(OR(AA201="",AA201=0),OR(AA201="",AB201=0)),"",IF(OR(AA201="",AA201=0),"DEFINIR PREÇO",IF(OR(AB201="",AB201=0),"DEFINIR FORNECEDOR",IF(OR(AA201&lt;&gt;"",AA201&lt;&gt;0),VLOOKUP(AB201,#REF!,2,FALSE)))))</f>
        <v/>
      </c>
      <c r="AD201" s="217"/>
      <c r="AE201" s="218"/>
      <c r="AF201" s="220" t="str">
        <f t="shared" ca="1" si="94"/>
        <v/>
      </c>
      <c r="AG201" s="229"/>
      <c r="AH201" s="231"/>
      <c r="AI201" s="206" t="str">
        <f>IF(AND(OR(AG201="",AG201=0),OR(AG201="",AH201=0)),"",IF(OR(AG201="",AG201=0),"DEFINIR PREÇO",IF(OR(AH201="",AH201=0),"DEFINIR FORNECEDOR",IF(OR(AG201&lt;&gt;"",AG201&lt;&gt;0),VLOOKUP(AH201,#REF!,2,FALSE)))))</f>
        <v/>
      </c>
      <c r="AJ201" s="217"/>
      <c r="AK201" s="218"/>
      <c r="AL201" s="220" t="str">
        <f t="shared" ca="1" si="95"/>
        <v/>
      </c>
      <c r="AM201" s="229"/>
      <c r="AN201" s="231"/>
      <c r="AO201" s="206" t="str">
        <f>IF(AND(OR(AM201="",AM201=0),OR(AM201="",AN201=0)),"",IF(OR(AM201="",AM201=0),"DEFINIR PREÇO",IF(OR(AN201="",AN201=0),"DEFINIR FORNECEDOR",IF(OR(AM201&lt;&gt;"",AM201&lt;&gt;0),VLOOKUP(AN201,#REF!,2,FALSE)))))</f>
        <v/>
      </c>
      <c r="AP201" s="217"/>
      <c r="AQ201" s="218"/>
      <c r="AR201" s="220" t="str">
        <f t="shared" ca="1" si="96"/>
        <v/>
      </c>
      <c r="AS201" s="229"/>
      <c r="AT201" s="231"/>
      <c r="AU201" s="194"/>
      <c r="AV201" s="217"/>
      <c r="AW201" s="218"/>
      <c r="AX201" s="220" t="str">
        <f t="shared" ca="1" si="97"/>
        <v/>
      </c>
      <c r="AY201" s="195"/>
      <c r="AZ201" s="196"/>
      <c r="BA201" s="209" t="str">
        <f>IF(AND(OR(AY201="",AY201=0),OR(AY201="",AZ201=0)),"",IF(OR(AY201="",AY201=0),"DEFINIR PREÇO",IF(OR(AZ201="",AZ201=0),"DEFINIR FORNECEDOR",IF(OR(AY201&lt;&gt;"",AY201&lt;&gt;0),VLOOKUP(AZ201,#REF!,2,FALSE)))))</f>
        <v/>
      </c>
      <c r="BB201" s="194"/>
      <c r="BC201" s="194"/>
      <c r="BD201" s="220" t="str">
        <f t="shared" ca="1" si="98"/>
        <v/>
      </c>
      <c r="BE201" s="195"/>
      <c r="BF201" s="196"/>
      <c r="BG201" s="194"/>
      <c r="BH201" s="194"/>
      <c r="BI201" s="194"/>
      <c r="BJ201" s="197"/>
    </row>
    <row r="202" spans="1:62" ht="25.5" x14ac:dyDescent="0.25">
      <c r="A202" s="44" t="s">
        <v>405</v>
      </c>
      <c r="B202" s="58" t="s">
        <v>179</v>
      </c>
      <c r="C202" s="45">
        <v>1</v>
      </c>
      <c r="D202" s="55" t="s">
        <v>171</v>
      </c>
      <c r="E202" s="45" t="s">
        <v>21</v>
      </c>
      <c r="F202" s="46" t="e">
        <f>VLOOKUP(N202,#REF!,4,FALSE)</f>
        <v>#REF!</v>
      </c>
      <c r="G202" s="47" t="e">
        <f>VLOOKUP(N202,#REF!,5,FALSE)</f>
        <v>#REF!</v>
      </c>
      <c r="H202" s="240" t="s">
        <v>2000</v>
      </c>
      <c r="I202" s="240" t="s">
        <v>2001</v>
      </c>
      <c r="J202" s="242" t="str">
        <f>IFERROR(IF(N202&lt;&gt;"",M202,IF(I202 = PARÂMETROS!$B$5,Q202, IF(I202 = PARÂMETROS!$B$6,R202,IF(I202 = PARÂMETROS!$B$7,S202,IF(I202 = PARÂMETROS!$B$8, T202,"DEFINIR CRITÉRIO"))))),"SEM PREÇO")</f>
        <v>SEM PREÇO</v>
      </c>
      <c r="K202" s="241">
        <f t="shared" si="87"/>
        <v>0</v>
      </c>
      <c r="L202" s="238" t="str">
        <f t="shared" si="88"/>
        <v/>
      </c>
      <c r="M202" s="180" t="e">
        <f>F202</f>
        <v>#REF!</v>
      </c>
      <c r="N202" s="151">
        <v>2207219003001</v>
      </c>
      <c r="O202" s="53" t="s">
        <v>1273</v>
      </c>
      <c r="P202" s="235">
        <f t="shared" si="89"/>
        <v>0</v>
      </c>
      <c r="Q202" s="236">
        <f t="shared" si="90"/>
        <v>0</v>
      </c>
      <c r="R202" s="236">
        <f t="shared" si="91"/>
        <v>0</v>
      </c>
      <c r="S202" s="236">
        <f t="shared" si="92"/>
        <v>0</v>
      </c>
      <c r="T202" s="236">
        <f t="shared" si="93"/>
        <v>0</v>
      </c>
      <c r="U202" s="237" t="str">
        <f>IF(AA202 = "", "", IF(OR($H202 = PARÂMETROS!$E$5, $H202 = ""), AA202, IF(OR(AA202 &lt; (1-VLOOKUP($H202,PARÂMETROS!$E:$F,2,FALSE))*$P202, AA202 &gt; (1+VLOOKUP($H202,PARÂMETROS!$E:$F,2,FALSE))*$P202),"",AA202)))</f>
        <v/>
      </c>
      <c r="V202" s="237" t="str">
        <f>IF(AG202 = "", "", IF(OR($H202 = PARÂMETROS!$E$5, $H202 = ""), AG202, IF(OR(AG202 &lt; (1-VLOOKUP($H202,PARÂMETROS!$E:$F,2,FALSE))*$P207, AG202 &gt; (1+VLOOKUP($H202,PARÂMETROS!$E:$F,2,FALSE))*$P202),"",AG202)))</f>
        <v/>
      </c>
      <c r="W202" s="237" t="str">
        <f>IF(AM202 = "", "", IF(OR($H202 = PARÂMETROS!$E$5, $H202 = ""), AM202, IF(OR(AM202 &lt; (1-VLOOKUP($H202,PARÂMETROS!$E:$F,2,FALSE))*$P202, AM202 &gt; (1+VLOOKUP($H202,PARÂMETROS!$E:$F,2,FALSE))*$P202),"",AM202)))</f>
        <v/>
      </c>
      <c r="X202" s="237" t="str">
        <f>IF(AS202 = "", "", IF(OR($H202 = PARÂMETROS!$E$5, $H202 = ""), AS202, IF(OR(AS202 &lt; (1-VLOOKUP($H202,PARÂMETROS!$E:$F,2,FALSE))*$P202, AS202 &gt; (1+VLOOKUP($H202,PARÂMETROS!$E:$F,2,FALSE))*$P202),"",AS202)))</f>
        <v/>
      </c>
      <c r="Y202" s="237" t="str">
        <f>IF(AY202 = "", "", IF(OR($H202 = PARÂMETROS!$E$5, $H202 = ""), AY202, IF(OR(AY202 &lt; (1-VLOOKUP($H202,PARÂMETROS!$E:$F,2,FALSE))*$P202, AY202 &gt; (1+VLOOKUP($H202,PARÂMETROS!$E:$F,2,FALSE))*$P202),"",AY202)))</f>
        <v/>
      </c>
      <c r="Z202" s="237" t="str">
        <f>IF(BE202 = "", "", IF(OR($H202 = PARÂMETROS!$E$5, $H202 = ""), BE202, IF(OR(BE202 &lt; (1-VLOOKUP($H202,PARÂMETROS!$E:$F,2,FALSE))*$P202, BE202 &gt; (1+VLOOKUP($H202,PARÂMETROS!$E:$F,2,FALSE))*$P202),"",BE202)))</f>
        <v/>
      </c>
      <c r="AA202" s="207"/>
      <c r="AB202" s="208"/>
      <c r="AC202" s="206" t="str">
        <f>IF(AND(OR(AA202="",AA202=0),OR(AA202="",AB202=0)),"",IF(OR(AA202="",AA202=0),"DEFINIR PREÇO",IF(OR(AB202="",AB202=0),"DEFINIR FORNECEDOR",IF(OR(AA202&lt;&gt;"",AA202&lt;&gt;0),VLOOKUP(AB202,#REF!,2,FALSE)))))</f>
        <v/>
      </c>
      <c r="AD202" s="217"/>
      <c r="AE202" s="218"/>
      <c r="AF202" s="220" t="str">
        <f t="shared" ca="1" si="94"/>
        <v/>
      </c>
      <c r="AG202" s="229"/>
      <c r="AH202" s="231"/>
      <c r="AI202" s="206" t="str">
        <f>IF(AND(OR(AG202="",AG202=0),OR(AG202="",AH202=0)),"",IF(OR(AG202="",AG202=0),"DEFINIR PREÇO",IF(OR(AH202="",AH202=0),"DEFINIR FORNECEDOR",IF(OR(AG202&lt;&gt;"",AG202&lt;&gt;0),VLOOKUP(AH202,#REF!,2,FALSE)))))</f>
        <v/>
      </c>
      <c r="AJ202" s="217"/>
      <c r="AK202" s="218"/>
      <c r="AL202" s="220" t="str">
        <f t="shared" ca="1" si="95"/>
        <v/>
      </c>
      <c r="AM202" s="229"/>
      <c r="AN202" s="231"/>
      <c r="AO202" s="206" t="str">
        <f>IF(AND(OR(AM202="",AM202=0),OR(AM202="",AN202=0)),"",IF(OR(AM202="",AM202=0),"DEFINIR PREÇO",IF(OR(AN202="",AN202=0),"DEFINIR FORNECEDOR",IF(OR(AM202&lt;&gt;"",AM202&lt;&gt;0),VLOOKUP(AN202,#REF!,2,FALSE)))))</f>
        <v/>
      </c>
      <c r="AP202" s="217"/>
      <c r="AQ202" s="218"/>
      <c r="AR202" s="220" t="str">
        <f t="shared" ca="1" si="96"/>
        <v/>
      </c>
      <c r="AS202" s="229"/>
      <c r="AT202" s="231"/>
      <c r="AU202" s="194"/>
      <c r="AV202" s="217"/>
      <c r="AW202" s="218"/>
      <c r="AX202" s="220" t="str">
        <f t="shared" ca="1" si="97"/>
        <v/>
      </c>
      <c r="AY202" s="195"/>
      <c r="AZ202" s="196"/>
      <c r="BA202" s="209" t="str">
        <f>IF(AND(OR(AY202="",AY202=0),OR(AY202="",AZ202=0)),"",IF(OR(AY202="",AY202=0),"DEFINIR PREÇO",IF(OR(AZ202="",AZ202=0),"DEFINIR FORNECEDOR",IF(OR(AY202&lt;&gt;"",AY202&lt;&gt;0),VLOOKUP(AZ202,#REF!,2,FALSE)))))</f>
        <v/>
      </c>
      <c r="BB202" s="194"/>
      <c r="BC202" s="194"/>
      <c r="BD202" s="220" t="str">
        <f t="shared" ca="1" si="98"/>
        <v/>
      </c>
      <c r="BE202" s="195"/>
      <c r="BF202" s="196"/>
      <c r="BG202" s="194"/>
      <c r="BH202" s="194"/>
      <c r="BI202" s="194"/>
      <c r="BJ202" s="197"/>
    </row>
    <row r="203" spans="1:62" ht="30.75" customHeight="1" x14ac:dyDescent="0.25">
      <c r="A203" s="44" t="s">
        <v>405</v>
      </c>
      <c r="B203" s="58" t="s">
        <v>199</v>
      </c>
      <c r="C203" s="45">
        <v>1</v>
      </c>
      <c r="D203" s="55" t="s">
        <v>192</v>
      </c>
      <c r="E203" s="45" t="s">
        <v>21</v>
      </c>
      <c r="F203" s="46" t="e">
        <f>VLOOKUP(B203,#REF!,4,FALSE)</f>
        <v>#REF!</v>
      </c>
      <c r="G203" s="47" t="e">
        <f>VLOOKUP(B203,#REF!,4,FALSE)</f>
        <v>#REF!</v>
      </c>
      <c r="H203" s="240" t="s">
        <v>2000</v>
      </c>
      <c r="I203" s="240" t="s">
        <v>2001</v>
      </c>
      <c r="J203" s="242" t="str">
        <f>IFERROR(IF(N203&lt;&gt;"",M203,IF(I203 = PARÂMETROS!$B$5,Q203, IF(I203 = PARÂMETROS!$B$6,R203,IF(I203 = PARÂMETROS!$B$7,S203,IF(I203 = PARÂMETROS!$B$8, T203,"DEFINIR CRITÉRIO"))))),"SEM PREÇO")</f>
        <v>DEFINIR CRITÉRIO</v>
      </c>
      <c r="K203" s="241" t="str">
        <f t="shared" si="87"/>
        <v/>
      </c>
      <c r="L203" s="238" t="str">
        <f t="shared" si="88"/>
        <v/>
      </c>
      <c r="M203" s="51"/>
      <c r="N203" s="52"/>
      <c r="O203" s="53"/>
      <c r="P203" s="235">
        <f t="shared" si="89"/>
        <v>3500000</v>
      </c>
      <c r="Q203" s="236">
        <f t="shared" si="90"/>
        <v>0</v>
      </c>
      <c r="R203" s="236">
        <f t="shared" si="91"/>
        <v>0</v>
      </c>
      <c r="S203" s="236">
        <f t="shared" si="92"/>
        <v>0</v>
      </c>
      <c r="T203" s="236">
        <f t="shared" si="93"/>
        <v>0</v>
      </c>
      <c r="U203" s="237" t="e">
        <f>IF(AA203 = "", "", IF(OR($H203 = PARÂMETROS!$E$5, $H203 = ""), AA203, IF(OR(AA203 &lt; (1-VLOOKUP($H203,PARÂMETROS!$E:$F,2,FALSE))*$P203, AA203 &gt; (1+VLOOKUP($H203,PARÂMETROS!$E:$F,2,FALSE))*$P203),"",AA203)))</f>
        <v>#N/A</v>
      </c>
      <c r="V203" s="237" t="str">
        <f>IF(AG203 = "", "", IF(OR($H203 = PARÂMETROS!$E$5, $H203 = ""), AG203, IF(OR(AG203 &lt; (1-VLOOKUP($H203,PARÂMETROS!$E:$F,2,FALSE))*$P208, AG203 &gt; (1+VLOOKUP($H203,PARÂMETROS!$E:$F,2,FALSE))*$P203),"",AG203)))</f>
        <v/>
      </c>
      <c r="W203" s="237" t="str">
        <f>IF(AM203 = "", "", IF(OR($H203 = PARÂMETROS!$E$5, $H203 = ""), AM203, IF(OR(AM203 &lt; (1-VLOOKUP($H203,PARÂMETROS!$E:$F,2,FALSE))*$P203, AM203 &gt; (1+VLOOKUP($H203,PARÂMETROS!$E:$F,2,FALSE))*$P203),"",AM203)))</f>
        <v/>
      </c>
      <c r="X203" s="237" t="str">
        <f>IF(AS203 = "", "", IF(OR($H203 = PARÂMETROS!$E$5, $H203 = ""), AS203, IF(OR(AS203 &lt; (1-VLOOKUP($H203,PARÂMETROS!$E:$F,2,FALSE))*$P203, AS203 &gt; (1+VLOOKUP($H203,PARÂMETROS!$E:$F,2,FALSE))*$P203),"",AS203)))</f>
        <v/>
      </c>
      <c r="Y203" s="237" t="str">
        <f>IF(AY203 = "", "", IF(OR($H203 = PARÂMETROS!$E$5, $H203 = ""), AY203, IF(OR(AY203 &lt; (1-VLOOKUP($H203,PARÂMETROS!$E:$F,2,FALSE))*$P203, AY203 &gt; (1+VLOOKUP($H203,PARÂMETROS!$E:$F,2,FALSE))*$P203),"",AY203)))</f>
        <v/>
      </c>
      <c r="Z203" s="237" t="str">
        <f>IF(BE203 = "", "", IF(OR($H203 = PARÂMETROS!$E$5, $H203 = ""), BE203, IF(OR(BE203 &lt; (1-VLOOKUP($H203,PARÂMETROS!$E:$F,2,FALSE))*$P203, BE203 &gt; (1+VLOOKUP($H203,PARÂMETROS!$E:$F,2,FALSE))*$P203),"",BE203)))</f>
        <v/>
      </c>
      <c r="AA203" s="49">
        <v>3500000</v>
      </c>
      <c r="AB203" s="50">
        <v>457</v>
      </c>
      <c r="AC203" s="206" t="e">
        <f>IF(AND(OR(AA203="",AA203=0),OR(AA203="",AB203=0)),"",IF(OR(AA203="",AA203=0),"DEFINIR PREÇO",IF(OR(AB203="",AB203=0),"DEFINIR FORNECEDOR",IF(OR(AA203&lt;&gt;"",AA203&lt;&gt;0),VLOOKUP(AB203,#REF!,2,FALSE)))))</f>
        <v>#REF!</v>
      </c>
      <c r="AD203" s="217"/>
      <c r="AE203" s="218">
        <v>44727</v>
      </c>
      <c r="AF203" s="220" t="str">
        <f t="shared" ca="1" si="94"/>
        <v>DESATUALIZADA</v>
      </c>
      <c r="AG203" s="229"/>
      <c r="AH203" s="231"/>
      <c r="AI203" s="206" t="str">
        <f>IF(AND(OR(AG203="",AG203=0),OR(AG203="",AH203=0)),"",IF(OR(AG203="",AG203=0),"DEFINIR PREÇO",IF(OR(AH203="",AH203=0),"DEFINIR FORNECEDOR",IF(OR(AG203&lt;&gt;"",AG203&lt;&gt;0),VLOOKUP(AH203,#REF!,2,FALSE)))))</f>
        <v/>
      </c>
      <c r="AJ203" s="217"/>
      <c r="AK203" s="218"/>
      <c r="AL203" s="220" t="str">
        <f t="shared" ca="1" si="95"/>
        <v/>
      </c>
      <c r="AM203" s="229"/>
      <c r="AN203" s="231"/>
      <c r="AO203" s="206" t="str">
        <f>IF(AND(OR(AM203="",AM203=0),OR(AM203="",AN203=0)),"",IF(OR(AM203="",AM203=0),"DEFINIR PREÇO",IF(OR(AN203="",AN203=0),"DEFINIR FORNECEDOR",IF(OR(AM203&lt;&gt;"",AM203&lt;&gt;0),VLOOKUP(AN203,#REF!,2,FALSE)))))</f>
        <v/>
      </c>
      <c r="AP203" s="217"/>
      <c r="AQ203" s="218"/>
      <c r="AR203" s="220" t="str">
        <f t="shared" ca="1" si="96"/>
        <v/>
      </c>
      <c r="AS203" s="229"/>
      <c r="AT203" s="231"/>
      <c r="AU203" s="194"/>
      <c r="AV203" s="217"/>
      <c r="AW203" s="218"/>
      <c r="AX203" s="220" t="str">
        <f t="shared" ca="1" si="97"/>
        <v/>
      </c>
      <c r="AY203" s="195"/>
      <c r="AZ203" s="196"/>
      <c r="BA203" s="209" t="str">
        <f>IF(AND(OR(AY203="",AY203=0),OR(AY203="",AZ203=0)),"",IF(OR(AY203="",AY203=0),"DEFINIR PREÇO",IF(OR(AZ203="",AZ203=0),"DEFINIR FORNECEDOR",IF(OR(AY203&lt;&gt;"",AY203&lt;&gt;0),VLOOKUP(AZ203,#REF!,2,FALSE)))))</f>
        <v/>
      </c>
      <c r="BB203" s="194"/>
      <c r="BC203" s="194"/>
      <c r="BD203" s="220" t="str">
        <f t="shared" ca="1" si="98"/>
        <v/>
      </c>
      <c r="BE203" s="195"/>
      <c r="BF203" s="196"/>
      <c r="BG203" s="194"/>
      <c r="BH203" s="194"/>
      <c r="BI203" s="194"/>
      <c r="BJ203" s="197"/>
    </row>
    <row r="204" spans="1:62" ht="27.75" customHeight="1" x14ac:dyDescent="0.25">
      <c r="A204" s="44" t="s">
        <v>405</v>
      </c>
      <c r="B204" s="58" t="s">
        <v>193</v>
      </c>
      <c r="C204" s="45">
        <v>1</v>
      </c>
      <c r="D204" s="55" t="s">
        <v>180</v>
      </c>
      <c r="E204" s="45" t="s">
        <v>21</v>
      </c>
      <c r="F204" s="46" t="e">
        <f>VLOOKUP(B204,#REF!,4,FALSE)</f>
        <v>#REF!</v>
      </c>
      <c r="G204" s="47" t="e">
        <f>VLOOKUP(B204,#REF!,4,FALSE)</f>
        <v>#REF!</v>
      </c>
      <c r="H204" s="240" t="s">
        <v>2000</v>
      </c>
      <c r="I204" s="240" t="s">
        <v>2001</v>
      </c>
      <c r="J204" s="242" t="str">
        <f>IFERROR(IF(N204&lt;&gt;"",M204,IF(I204 = PARÂMETROS!$B$5,Q204, IF(I204 = PARÂMETROS!$B$6,R204,IF(I204 = PARÂMETROS!$B$7,S204,IF(I204 = PARÂMETROS!$B$8, T204,"DEFINIR CRITÉRIO"))))),"SEM PREÇO")</f>
        <v>DEFINIR CRITÉRIO</v>
      </c>
      <c r="K204" s="241" t="str">
        <f t="shared" si="87"/>
        <v/>
      </c>
      <c r="L204" s="238" t="str">
        <f t="shared" si="88"/>
        <v/>
      </c>
      <c r="M204" s="51"/>
      <c r="N204" s="52"/>
      <c r="O204" s="53"/>
      <c r="P204" s="235">
        <f t="shared" si="89"/>
        <v>2500000</v>
      </c>
      <c r="Q204" s="236">
        <f t="shared" si="90"/>
        <v>0</v>
      </c>
      <c r="R204" s="236">
        <f t="shared" si="91"/>
        <v>0</v>
      </c>
      <c r="S204" s="236">
        <f t="shared" si="92"/>
        <v>0</v>
      </c>
      <c r="T204" s="236">
        <f t="shared" si="93"/>
        <v>0</v>
      </c>
      <c r="U204" s="237" t="e">
        <f>IF(AA204 = "", "", IF(OR($H204 = PARÂMETROS!$E$5, $H204 = ""), AA204, IF(OR(AA204 &lt; (1-VLOOKUP($H204,PARÂMETROS!$E:$F,2,FALSE))*$P204, AA204 &gt; (1+VLOOKUP($H204,PARÂMETROS!$E:$F,2,FALSE))*$P204),"",AA204)))</f>
        <v>#N/A</v>
      </c>
      <c r="V204" s="237" t="str">
        <f>IF(AG204 = "", "", IF(OR($H204 = PARÂMETROS!$E$5, $H204 = ""), AG204, IF(OR(AG204 &lt; (1-VLOOKUP($H204,PARÂMETROS!$E:$F,2,FALSE))*$P209, AG204 &gt; (1+VLOOKUP($H204,PARÂMETROS!$E:$F,2,FALSE))*$P204),"",AG204)))</f>
        <v/>
      </c>
      <c r="W204" s="237" t="str">
        <f>IF(AM204 = "", "", IF(OR($H204 = PARÂMETROS!$E$5, $H204 = ""), AM204, IF(OR(AM204 &lt; (1-VLOOKUP($H204,PARÂMETROS!$E:$F,2,FALSE))*$P204, AM204 &gt; (1+VLOOKUP($H204,PARÂMETROS!$E:$F,2,FALSE))*$P204),"",AM204)))</f>
        <v/>
      </c>
      <c r="X204" s="237" t="str">
        <f>IF(AS204 = "", "", IF(OR($H204 = PARÂMETROS!$E$5, $H204 = ""), AS204, IF(OR(AS204 &lt; (1-VLOOKUP($H204,PARÂMETROS!$E:$F,2,FALSE))*$P204, AS204 &gt; (1+VLOOKUP($H204,PARÂMETROS!$E:$F,2,FALSE))*$P204),"",AS204)))</f>
        <v/>
      </c>
      <c r="Y204" s="237" t="str">
        <f>IF(AY204 = "", "", IF(OR($H204 = PARÂMETROS!$E$5, $H204 = ""), AY204, IF(OR(AY204 &lt; (1-VLOOKUP($H204,PARÂMETROS!$E:$F,2,FALSE))*$P204, AY204 &gt; (1+VLOOKUP($H204,PARÂMETROS!$E:$F,2,FALSE))*$P204),"",AY204)))</f>
        <v/>
      </c>
      <c r="Z204" s="237" t="str">
        <f>IF(BE204 = "", "", IF(OR($H204 = PARÂMETROS!$E$5, $H204 = ""), BE204, IF(OR(BE204 &lt; (1-VLOOKUP($H204,PARÂMETROS!$E:$F,2,FALSE))*$P204, BE204 &gt; (1+VLOOKUP($H204,PARÂMETROS!$E:$F,2,FALSE))*$P204),"",BE204)))</f>
        <v/>
      </c>
      <c r="AA204" s="49">
        <v>2500000</v>
      </c>
      <c r="AB204" s="50">
        <v>457</v>
      </c>
      <c r="AC204" s="206" t="e">
        <f>IF(AND(OR(AA204="",AA204=0),OR(AA204="",AB204=0)),"",IF(OR(AA204="",AA204=0),"DEFINIR PREÇO",IF(OR(AB204="",AB204=0),"DEFINIR FORNECEDOR",IF(OR(AA204&lt;&gt;"",AA204&lt;&gt;0),VLOOKUP(AB204,#REF!,2,FALSE)))))</f>
        <v>#REF!</v>
      </c>
      <c r="AD204" s="217"/>
      <c r="AE204" s="218">
        <v>44727</v>
      </c>
      <c r="AF204" s="220" t="str">
        <f t="shared" ca="1" si="94"/>
        <v>DESATUALIZADA</v>
      </c>
      <c r="AG204" s="229"/>
      <c r="AH204" s="231"/>
      <c r="AI204" s="206" t="str">
        <f>IF(AND(OR(AG204="",AG204=0),OR(AG204="",AH204=0)),"",IF(OR(AG204="",AG204=0),"DEFINIR PREÇO",IF(OR(AH204="",AH204=0),"DEFINIR FORNECEDOR",IF(OR(AG204&lt;&gt;"",AG204&lt;&gt;0),VLOOKUP(AH204,#REF!,2,FALSE)))))</f>
        <v/>
      </c>
      <c r="AJ204" s="217"/>
      <c r="AK204" s="218"/>
      <c r="AL204" s="220" t="str">
        <f t="shared" ca="1" si="95"/>
        <v/>
      </c>
      <c r="AM204" s="229"/>
      <c r="AN204" s="231"/>
      <c r="AO204" s="206" t="str">
        <f>IF(AND(OR(AM204="",AM204=0),OR(AM204="",AN204=0)),"",IF(OR(AM204="",AM204=0),"DEFINIR PREÇO",IF(OR(AN204="",AN204=0),"DEFINIR FORNECEDOR",IF(OR(AM204&lt;&gt;"",AM204&lt;&gt;0),VLOOKUP(AN204,#REF!,2,FALSE)))))</f>
        <v/>
      </c>
      <c r="AP204" s="217"/>
      <c r="AQ204" s="218"/>
      <c r="AR204" s="220" t="str">
        <f t="shared" ca="1" si="96"/>
        <v/>
      </c>
      <c r="AS204" s="229"/>
      <c r="AT204" s="231"/>
      <c r="AU204" s="194"/>
      <c r="AV204" s="217"/>
      <c r="AW204" s="218"/>
      <c r="AX204" s="220" t="str">
        <f t="shared" ca="1" si="97"/>
        <v/>
      </c>
      <c r="AY204" s="195"/>
      <c r="AZ204" s="196"/>
      <c r="BA204" s="209" t="str">
        <f>IF(AND(OR(AY204="",AY204=0),OR(AY204="",AZ204=0)),"",IF(OR(AY204="",AY204=0),"DEFINIR PREÇO",IF(OR(AZ204="",AZ204=0),"DEFINIR FORNECEDOR",IF(OR(AY204&lt;&gt;"",AY204&lt;&gt;0),VLOOKUP(AZ204,#REF!,2,FALSE)))))</f>
        <v/>
      </c>
      <c r="BB204" s="194"/>
      <c r="BC204" s="194"/>
      <c r="BD204" s="220" t="str">
        <f t="shared" ca="1" si="98"/>
        <v/>
      </c>
      <c r="BE204" s="195"/>
      <c r="BF204" s="196"/>
      <c r="BG204" s="194"/>
      <c r="BH204" s="194"/>
      <c r="BI204" s="194"/>
      <c r="BJ204" s="197"/>
    </row>
    <row r="205" spans="1:62" ht="30" x14ac:dyDescent="0.25">
      <c r="A205" s="44" t="s">
        <v>405</v>
      </c>
      <c r="B205" s="45" t="s">
        <v>183</v>
      </c>
      <c r="C205" s="45">
        <v>4</v>
      </c>
      <c r="D205" s="55" t="s">
        <v>174</v>
      </c>
      <c r="E205" s="45" t="s">
        <v>21</v>
      </c>
      <c r="F205" s="46" t="e">
        <f>VLOOKUP(B205,#REF!,4,FALSE)</f>
        <v>#REF!</v>
      </c>
      <c r="G205" s="47" t="e">
        <f>VLOOKUP(B205,#REF!,4,FALSE)</f>
        <v>#REF!</v>
      </c>
      <c r="H205" s="240" t="s">
        <v>2000</v>
      </c>
      <c r="I205" s="240" t="s">
        <v>1999</v>
      </c>
      <c r="J205" s="242" t="str">
        <f>IFERROR(IF(N205&lt;&gt;"",M205,IF(I205 = PARÂMETROS!$B$5,Q205, IF(I205 = PARÂMETROS!$B$6,R205,IF(I205 = PARÂMETROS!$B$7,S205,IF(I205 = PARÂMETROS!$B$8, T205,"DEFINIR CRITÉRIO"))))),"SEM PREÇO")</f>
        <v>DEFINIR CRITÉRIO</v>
      </c>
      <c r="K205" s="241" t="str">
        <f t="shared" si="87"/>
        <v/>
      </c>
      <c r="L205" s="238" t="str">
        <f t="shared" si="88"/>
        <v/>
      </c>
      <c r="M205" s="51"/>
      <c r="N205" s="52"/>
      <c r="O205" s="53" t="s">
        <v>26</v>
      </c>
      <c r="P205" s="235">
        <f t="shared" si="89"/>
        <v>114.48333333333335</v>
      </c>
      <c r="Q205" s="236">
        <f t="shared" si="90"/>
        <v>0</v>
      </c>
      <c r="R205" s="236">
        <f t="shared" si="91"/>
        <v>0</v>
      </c>
      <c r="S205" s="236">
        <f t="shared" si="92"/>
        <v>0</v>
      </c>
      <c r="T205" s="236">
        <f t="shared" si="93"/>
        <v>0</v>
      </c>
      <c r="U205" s="237" t="e">
        <f>IF(AA205 = "", "", IF(OR($H205 = PARÂMETROS!$E$5, $H205 = ""), AA205, IF(OR(AA205 &lt; (1-VLOOKUP($H205,PARÂMETROS!$E:$F,2,FALSE))*$P205, AA205 &gt; (1+VLOOKUP($H205,PARÂMETROS!$E:$F,2,FALSE))*$P205),"",AA205)))</f>
        <v>#N/A</v>
      </c>
      <c r="V205" s="237" t="e">
        <f>IF(AG205 = "", "", IF(OR($H205 = PARÂMETROS!$E$5, $H205 = ""), AG205, IF(OR(AG205 &lt; (1-VLOOKUP($H205,PARÂMETROS!$E:$F,2,FALSE))*$P210, AG205 &gt; (1+VLOOKUP($H205,PARÂMETROS!$E:$F,2,FALSE))*$P205),"",AG205)))</f>
        <v>#N/A</v>
      </c>
      <c r="W205" s="237" t="e">
        <f>IF(AM205 = "", "", IF(OR($H205 = PARÂMETROS!$E$5, $H205 = ""), AM205, IF(OR(AM205 &lt; (1-VLOOKUP($H205,PARÂMETROS!$E:$F,2,FALSE))*$P205, AM205 &gt; (1+VLOOKUP($H205,PARÂMETROS!$E:$F,2,FALSE))*$P205),"",AM205)))</f>
        <v>#N/A</v>
      </c>
      <c r="X205" s="237" t="str">
        <f>IF(AS205 = "", "", IF(OR($H205 = PARÂMETROS!$E$5, $H205 = ""), AS205, IF(OR(AS205 &lt; (1-VLOOKUP($H205,PARÂMETROS!$E:$F,2,FALSE))*$P205, AS205 &gt; (1+VLOOKUP($H205,PARÂMETROS!$E:$F,2,FALSE))*$P205),"",AS205)))</f>
        <v/>
      </c>
      <c r="Y205" s="237" t="str">
        <f>IF(AY205 = "", "", IF(OR($H205 = PARÂMETROS!$E$5, $H205 = ""), AY205, IF(OR(AY205 &lt; (1-VLOOKUP($H205,PARÂMETROS!$E:$F,2,FALSE))*$P205, AY205 &gt; (1+VLOOKUP($H205,PARÂMETROS!$E:$F,2,FALSE))*$P205),"",AY205)))</f>
        <v/>
      </c>
      <c r="Z205" s="237" t="str">
        <f>IF(BE205 = "", "", IF(OR($H205 = PARÂMETROS!$E$5, $H205 = ""), BE205, IF(OR(BE205 &lt; (1-VLOOKUP($H205,PARÂMETROS!$E:$F,2,FALSE))*$P205, BE205 &gt; (1+VLOOKUP($H205,PARÂMETROS!$E:$F,2,FALSE))*$P205),"",BE205)))</f>
        <v/>
      </c>
      <c r="AA205" s="207">
        <v>94.9</v>
      </c>
      <c r="AB205" s="208">
        <v>1096</v>
      </c>
      <c r="AC205" s="206" t="e">
        <f>IF(AND(OR(AA205="",AA205=0),OR(AA205="",AB205=0)),"",IF(OR(AA205="",AA205=0),"DEFINIR PREÇO",IF(OR(AB205="",AB205=0),"DEFINIR FORNECEDOR",IF(OR(AA205&lt;&gt;"",AA205&lt;&gt;0),VLOOKUP(AB205,#REF!,2,FALSE)))))</f>
        <v>#REF!</v>
      </c>
      <c r="AD205" s="217" t="s">
        <v>1977</v>
      </c>
      <c r="AE205" s="218">
        <v>44925</v>
      </c>
      <c r="AF205" s="220" t="str">
        <f t="shared" ca="1" si="94"/>
        <v>DESATUALIZADA</v>
      </c>
      <c r="AG205" s="229">
        <v>129.9</v>
      </c>
      <c r="AH205" s="231">
        <v>664</v>
      </c>
      <c r="AI205" s="206" t="e">
        <f>IF(AND(OR(AG205="",AG205=0),OR(AG205="",AH205=0)),"",IF(OR(AG205="",AG205=0),"DEFINIR PREÇO",IF(OR(AH205="",AH205=0),"DEFINIR FORNECEDOR",IF(OR(AG205&lt;&gt;"",AG205&lt;&gt;0),VLOOKUP(AH205,#REF!,2,FALSE)))))</f>
        <v>#REF!</v>
      </c>
      <c r="AJ205" s="217" t="s">
        <v>1977</v>
      </c>
      <c r="AK205" s="218">
        <v>44925</v>
      </c>
      <c r="AL205" s="220" t="str">
        <f t="shared" ca="1" si="95"/>
        <v>DESATUALIZADA</v>
      </c>
      <c r="AM205" s="229">
        <v>118.65</v>
      </c>
      <c r="AN205" s="231">
        <v>802</v>
      </c>
      <c r="AO205" s="206" t="e">
        <f>IF(AND(OR(AM205="",AM205=0),OR(AM205="",AN205=0)),"",IF(OR(AM205="",AM205=0),"DEFINIR PREÇO",IF(OR(AN205="",AN205=0),"DEFINIR FORNECEDOR",IF(OR(AM205&lt;&gt;"",AM205&lt;&gt;0),VLOOKUP(AN205,#REF!,2,FALSE)))))</f>
        <v>#REF!</v>
      </c>
      <c r="AP205" s="217" t="s">
        <v>1977</v>
      </c>
      <c r="AQ205" s="218">
        <v>44925</v>
      </c>
      <c r="AR205" s="220" t="str">
        <f t="shared" ca="1" si="96"/>
        <v>DESATUALIZADA</v>
      </c>
      <c r="AS205" s="229"/>
      <c r="AT205" s="231"/>
      <c r="AU205" s="194"/>
      <c r="AV205" s="217"/>
      <c r="AW205" s="218"/>
      <c r="AX205" s="220" t="str">
        <f t="shared" ca="1" si="97"/>
        <v/>
      </c>
      <c r="AY205" s="195"/>
      <c r="AZ205" s="196"/>
      <c r="BA205" s="209" t="str">
        <f>IF(AND(OR(AY205="",AY205=0),OR(AY205="",AZ205=0)),"",IF(OR(AY205="",AY205=0),"DEFINIR PREÇO",IF(OR(AZ205="",AZ205=0),"DEFINIR FORNECEDOR",IF(OR(AY205&lt;&gt;"",AY205&lt;&gt;0),VLOOKUP(AZ205,#REF!,2,FALSE)))))</f>
        <v/>
      </c>
      <c r="BB205" s="192"/>
      <c r="BC205" s="192"/>
      <c r="BD205" s="220" t="str">
        <f t="shared" ca="1" si="98"/>
        <v/>
      </c>
      <c r="BE205" s="195"/>
      <c r="BF205" s="196"/>
      <c r="BG205" s="194"/>
      <c r="BH205" s="192"/>
      <c r="BI205" s="192"/>
      <c r="BJ205" s="193"/>
    </row>
    <row r="206" spans="1:62" ht="90" x14ac:dyDescent="0.25">
      <c r="A206" s="44" t="s">
        <v>405</v>
      </c>
      <c r="B206" s="58" t="s">
        <v>157</v>
      </c>
      <c r="C206" s="45">
        <v>1</v>
      </c>
      <c r="D206" s="244" t="s">
        <v>1054</v>
      </c>
      <c r="E206" s="45" t="s">
        <v>21</v>
      </c>
      <c r="F206" s="46" t="e">
        <f>VLOOKUP(B206,#REF!,7,FALSE)</f>
        <v>#REF!</v>
      </c>
      <c r="G206" s="47" t="e">
        <f>VLOOKUP(B206,#REF!,9,FALSE)</f>
        <v>#REF!</v>
      </c>
      <c r="H206" s="240" t="s">
        <v>2000</v>
      </c>
      <c r="I206" s="240" t="s">
        <v>2001</v>
      </c>
      <c r="J206" s="242" t="str">
        <f>IFERROR(IF(N206&lt;&gt;"",M206,IF(I206 = PARÂMETROS!$B$5,Q206, IF(I206 = PARÂMETROS!$B$6,R206,IF(I206 = PARÂMETROS!$B$7,S206,IF(I206 = PARÂMETROS!$B$8, T206,"DEFINIR CRITÉRIO"))))),"SEM PREÇO")</f>
        <v>INSUMO DESCONTINUADO - USANDO SINAPI DIRETO NAS COMPOSIÇÕES</v>
      </c>
      <c r="K206" s="241">
        <f t="shared" si="87"/>
        <v>0</v>
      </c>
      <c r="L206" s="238" t="str">
        <f t="shared" si="88"/>
        <v/>
      </c>
      <c r="M206" s="249" t="s">
        <v>2076</v>
      </c>
      <c r="N206" s="52">
        <v>83765</v>
      </c>
      <c r="O206" s="53" t="s">
        <v>1264</v>
      </c>
      <c r="P206" s="235">
        <f t="shared" si="89"/>
        <v>0</v>
      </c>
      <c r="Q206" s="236">
        <f t="shared" si="90"/>
        <v>0</v>
      </c>
      <c r="R206" s="236">
        <f t="shared" si="91"/>
        <v>0</v>
      </c>
      <c r="S206" s="236">
        <f t="shared" si="92"/>
        <v>0</v>
      </c>
      <c r="T206" s="236">
        <f t="shared" si="93"/>
        <v>0</v>
      </c>
      <c r="U206" s="237" t="str">
        <f>IF(AA206 = "", "", IF(OR($H206 = PARÂMETROS!$E$5, $H206 = ""), AA206, IF(OR(AA206 &lt; (1-VLOOKUP($H206,PARÂMETROS!$E:$F,2,FALSE))*$P206, AA206 &gt; (1+VLOOKUP($H206,PARÂMETROS!$E:$F,2,FALSE))*$P206),"",AA206)))</f>
        <v/>
      </c>
      <c r="V206" s="237" t="str">
        <f>IF(AG206 = "", "", IF(OR($H206 = PARÂMETROS!$E$5, $H206 = ""), AG206, IF(OR(AG206 &lt; (1-VLOOKUP($H206,PARÂMETROS!$E:$F,2,FALSE))*$P211, AG206 &gt; (1+VLOOKUP($H206,PARÂMETROS!$E:$F,2,FALSE))*$P206),"",AG206)))</f>
        <v/>
      </c>
      <c r="W206" s="237" t="str">
        <f>IF(AM206 = "", "", IF(OR($H206 = PARÂMETROS!$E$5, $H206 = ""), AM206, IF(OR(AM206 &lt; (1-VLOOKUP($H206,PARÂMETROS!$E:$F,2,FALSE))*$P206, AM206 &gt; (1+VLOOKUP($H206,PARÂMETROS!$E:$F,2,FALSE))*$P206),"",AM206)))</f>
        <v/>
      </c>
      <c r="X206" s="237" t="str">
        <f>IF(AS206 = "", "", IF(OR($H206 = PARÂMETROS!$E$5, $H206 = ""), AS206, IF(OR(AS206 &lt; (1-VLOOKUP($H206,PARÂMETROS!$E:$F,2,FALSE))*$P206, AS206 &gt; (1+VLOOKUP($H206,PARÂMETROS!$E:$F,2,FALSE))*$P206),"",AS206)))</f>
        <v/>
      </c>
      <c r="Y206" s="237" t="str">
        <f>IF(AY206 = "", "", IF(OR($H206 = PARÂMETROS!$E$5, $H206 = ""), AY206, IF(OR(AY206 &lt; (1-VLOOKUP($H206,PARÂMETROS!$E:$F,2,FALSE))*$P206, AY206 &gt; (1+VLOOKUP($H206,PARÂMETROS!$E:$F,2,FALSE))*$P206),"",AY206)))</f>
        <v/>
      </c>
      <c r="Z206" s="237" t="str">
        <f>IF(BE206 = "", "", IF(OR($H206 = PARÂMETROS!$E$5, $H206 = ""), BE206, IF(OR(BE206 &lt; (1-VLOOKUP($H206,PARÂMETROS!$E:$F,2,FALSE))*$P206, BE206 &gt; (1+VLOOKUP($H206,PARÂMETROS!$E:$F,2,FALSE))*$P206),"",BE206)))</f>
        <v/>
      </c>
      <c r="AA206" s="207"/>
      <c r="AB206" s="208"/>
      <c r="AC206" s="206" t="str">
        <f>IF(AND(OR(AA206="",AA206=0),OR(AA206="",AB206=0)),"",IF(OR(AA206="",AA206=0),"DEFINIR PREÇO",IF(OR(AB206="",AB206=0),"DEFINIR FORNECEDOR",IF(OR(AA206&lt;&gt;"",AA206&lt;&gt;0),VLOOKUP(AB206,#REF!,2,FALSE)))))</f>
        <v/>
      </c>
      <c r="AD206" s="217"/>
      <c r="AE206" s="218"/>
      <c r="AF206" s="220" t="str">
        <f t="shared" ca="1" si="94"/>
        <v/>
      </c>
      <c r="AG206" s="229"/>
      <c r="AH206" s="231"/>
      <c r="AI206" s="206"/>
      <c r="AJ206" s="217"/>
      <c r="AK206" s="218"/>
      <c r="AL206" s="220" t="str">
        <f t="shared" ca="1" si="95"/>
        <v/>
      </c>
      <c r="AM206" s="229"/>
      <c r="AN206" s="231"/>
      <c r="AO206" s="206" t="str">
        <f>IF(AND(OR(AM206="",AM206=0),OR(AM206="",AN206=0)),"",IF(OR(AM206="",AM206=0),"DEFINIR PREÇO",IF(OR(AN206="",AN206=0),"DEFINIR FORNECEDOR",IF(OR(AM206&lt;&gt;"",AM206&lt;&gt;0),VLOOKUP(AN206,#REF!,2,FALSE)))))</f>
        <v/>
      </c>
      <c r="AP206" s="217"/>
      <c r="AQ206" s="218"/>
      <c r="AR206" s="220" t="str">
        <f t="shared" ca="1" si="96"/>
        <v/>
      </c>
      <c r="AS206" s="229"/>
      <c r="AT206" s="231"/>
      <c r="AU206" s="194"/>
      <c r="AV206" s="217"/>
      <c r="AW206" s="218"/>
      <c r="AX206" s="220" t="str">
        <f t="shared" ca="1" si="97"/>
        <v/>
      </c>
      <c r="AY206" s="195"/>
      <c r="AZ206" s="196"/>
      <c r="BA206" s="209" t="str">
        <f>IF(AND(OR(AY206="",AY206=0),OR(AY206="",AZ206=0)),"",IF(OR(AY206="",AY206=0),"DEFINIR PREÇO",IF(OR(AZ206="",AZ206=0),"DEFINIR FORNECEDOR",IF(OR(AY206&lt;&gt;"",AY206&lt;&gt;0),VLOOKUP(AZ206,#REF!,2,FALSE)))))</f>
        <v/>
      </c>
      <c r="BB206" s="194"/>
      <c r="BC206" s="194"/>
      <c r="BD206" s="220" t="str">
        <f t="shared" ca="1" si="98"/>
        <v/>
      </c>
      <c r="BE206" s="195"/>
      <c r="BF206" s="196"/>
      <c r="BG206" s="194"/>
      <c r="BH206" s="194"/>
      <c r="BI206" s="194"/>
      <c r="BJ206" s="197"/>
    </row>
    <row r="207" spans="1:62" x14ac:dyDescent="0.25">
      <c r="A207" s="44" t="s">
        <v>405</v>
      </c>
      <c r="B207" s="58" t="s">
        <v>75</v>
      </c>
      <c r="C207" s="45">
        <v>1</v>
      </c>
      <c r="D207" s="55" t="s">
        <v>73</v>
      </c>
      <c r="E207" s="45" t="s">
        <v>21</v>
      </c>
      <c r="F207" s="46" t="e">
        <f>VLOOKUP(B207,#REF!,7,FALSE)</f>
        <v>#REF!</v>
      </c>
      <c r="G207" s="47" t="e">
        <f>VLOOKUP(B207,#REF!,9,FALSE)</f>
        <v>#REF!</v>
      </c>
      <c r="H207" s="240" t="s">
        <v>2000</v>
      </c>
      <c r="I207" s="240" t="s">
        <v>2001</v>
      </c>
      <c r="J207" s="242" t="str">
        <f>IFERROR(IF(N207&lt;&gt;"",M207,IF(I207 = PARÂMETROS!$B$5,Q207, IF(I207 = PARÂMETROS!$B$6,R207,IF(I207 = PARÂMETROS!$B$7,S207,IF(I207 = PARÂMETROS!$B$8, T207,"DEFINIR CRITÉRIO"))))),"SEM PREÇO")</f>
        <v>SEM PREÇO</v>
      </c>
      <c r="K207" s="241">
        <f t="shared" si="87"/>
        <v>0</v>
      </c>
      <c r="L207" s="238" t="str">
        <f t="shared" si="88"/>
        <v/>
      </c>
      <c r="M207" s="180" t="e">
        <f>F207</f>
        <v>#REF!</v>
      </c>
      <c r="N207" s="52" t="s">
        <v>426</v>
      </c>
      <c r="O207" s="53" t="s">
        <v>1264</v>
      </c>
      <c r="P207" s="235">
        <f t="shared" si="89"/>
        <v>0</v>
      </c>
      <c r="Q207" s="236">
        <f t="shared" si="90"/>
        <v>0</v>
      </c>
      <c r="R207" s="236">
        <f t="shared" si="91"/>
        <v>0</v>
      </c>
      <c r="S207" s="236">
        <f t="shared" si="92"/>
        <v>0</v>
      </c>
      <c r="T207" s="236">
        <f t="shared" si="93"/>
        <v>0</v>
      </c>
      <c r="U207" s="237" t="str">
        <f>IF(AA207 = "", "", IF(OR($H207 = PARÂMETROS!$E$5, $H207 = ""), AA207, IF(OR(AA207 &lt; (1-VLOOKUP($H207,PARÂMETROS!$E:$F,2,FALSE))*$P207, AA207 &gt; (1+VLOOKUP($H207,PARÂMETROS!$E:$F,2,FALSE))*$P207),"",AA207)))</f>
        <v/>
      </c>
      <c r="V207" s="237" t="str">
        <f>IF(AG207 = "", "", IF(OR($H207 = PARÂMETROS!$E$5, $H207 = ""), AG207, IF(OR(AG207 &lt; (1-VLOOKUP($H207,PARÂMETROS!$E:$F,2,FALSE))*$P212, AG207 &gt; (1+VLOOKUP($H207,PARÂMETROS!$E:$F,2,FALSE))*$P207),"",AG207)))</f>
        <v/>
      </c>
      <c r="W207" s="237" t="str">
        <f>IF(AM207 = "", "", IF(OR($H207 = PARÂMETROS!$E$5, $H207 = ""), AM207, IF(OR(AM207 &lt; (1-VLOOKUP($H207,PARÂMETROS!$E:$F,2,FALSE))*$P207, AM207 &gt; (1+VLOOKUP($H207,PARÂMETROS!$E:$F,2,FALSE))*$P207),"",AM207)))</f>
        <v/>
      </c>
      <c r="X207" s="237" t="str">
        <f>IF(AS207 = "", "", IF(OR($H207 = PARÂMETROS!$E$5, $H207 = ""), AS207, IF(OR(AS207 &lt; (1-VLOOKUP($H207,PARÂMETROS!$E:$F,2,FALSE))*$P207, AS207 &gt; (1+VLOOKUP($H207,PARÂMETROS!$E:$F,2,FALSE))*$P207),"",AS207)))</f>
        <v/>
      </c>
      <c r="Y207" s="237" t="str">
        <f>IF(AY207 = "", "", IF(OR($H207 = PARÂMETROS!$E$5, $H207 = ""), AY207, IF(OR(AY207 &lt; (1-VLOOKUP($H207,PARÂMETROS!$E:$F,2,FALSE))*$P207, AY207 &gt; (1+VLOOKUP($H207,PARÂMETROS!$E:$F,2,FALSE))*$P207),"",AY207)))</f>
        <v/>
      </c>
      <c r="Z207" s="237" t="str">
        <f>IF(BE207 = "", "", IF(OR($H207 = PARÂMETROS!$E$5, $H207 = ""), BE207, IF(OR(BE207 &lt; (1-VLOOKUP($H207,PARÂMETROS!$E:$F,2,FALSE))*$P207, BE207 &gt; (1+VLOOKUP($H207,PARÂMETROS!$E:$F,2,FALSE))*$P207),"",BE207)))</f>
        <v/>
      </c>
      <c r="AA207" s="207"/>
      <c r="AB207" s="208"/>
      <c r="AC207" s="206" t="str">
        <f>IF(AND(OR(AA207="",AA207=0),OR(AA207="",AB207=0)),"",IF(OR(AA207="",AA207=0),"DEFINIR PREÇO",IF(OR(AB207="",AB207=0),"DEFINIR FORNECEDOR",IF(OR(AA207&lt;&gt;"",AA207&lt;&gt;0),VLOOKUP(AB207,#REF!,2,FALSE)))))</f>
        <v/>
      </c>
      <c r="AD207" s="217"/>
      <c r="AE207" s="218"/>
      <c r="AF207" s="220" t="str">
        <f t="shared" ca="1" si="94"/>
        <v/>
      </c>
      <c r="AG207" s="229"/>
      <c r="AH207" s="231"/>
      <c r="AI207" s="206" t="str">
        <f>IF(AND(OR(AG207="",AG207=0),OR(AG207="",AH207=0)),"",IF(OR(AG207="",AG207=0),"DEFINIR PREÇO",IF(OR(AH207="",AH207=0),"DEFINIR FORNECEDOR",IF(OR(AG207&lt;&gt;"",AG207&lt;&gt;0),VLOOKUP(AH207,#REF!,2,FALSE)))))</f>
        <v/>
      </c>
      <c r="AJ207" s="217"/>
      <c r="AK207" s="218"/>
      <c r="AL207" s="220" t="str">
        <f t="shared" ca="1" si="95"/>
        <v/>
      </c>
      <c r="AM207" s="229"/>
      <c r="AN207" s="231"/>
      <c r="AO207" s="206" t="str">
        <f>IF(AND(OR(AM207="",AM207=0),OR(AM207="",AN207=0)),"",IF(OR(AM207="",AM207=0),"DEFINIR PREÇO",IF(OR(AN207="",AN207=0),"DEFINIR FORNECEDOR",IF(OR(AM207&lt;&gt;"",AM207&lt;&gt;0),VLOOKUP(AN207,#REF!,2,FALSE)))))</f>
        <v/>
      </c>
      <c r="AP207" s="217"/>
      <c r="AQ207" s="218"/>
      <c r="AR207" s="220" t="str">
        <f t="shared" ca="1" si="96"/>
        <v/>
      </c>
      <c r="AS207" s="229"/>
      <c r="AT207" s="231"/>
      <c r="AU207" s="194"/>
      <c r="AV207" s="217"/>
      <c r="AW207" s="218"/>
      <c r="AX207" s="220" t="str">
        <f t="shared" ca="1" si="97"/>
        <v/>
      </c>
      <c r="AY207" s="195"/>
      <c r="AZ207" s="196"/>
      <c r="BA207" s="209" t="str">
        <f>IF(AND(OR(AY207="",AY207=0),OR(AY207="",AZ207=0)),"",IF(OR(AY207="",AY207=0),"DEFINIR PREÇO",IF(OR(AZ207="",AZ207=0),"DEFINIR FORNECEDOR",IF(OR(AY207&lt;&gt;"",AY207&lt;&gt;0),VLOOKUP(AZ207,#REF!,2,FALSE)))))</f>
        <v/>
      </c>
      <c r="BB207" s="194"/>
      <c r="BC207" s="194"/>
      <c r="BD207" s="220" t="str">
        <f t="shared" ca="1" si="98"/>
        <v/>
      </c>
      <c r="BE207" s="195"/>
      <c r="BF207" s="196"/>
      <c r="BG207" s="194"/>
      <c r="BH207" s="194"/>
      <c r="BI207" s="194"/>
      <c r="BJ207" s="197"/>
    </row>
    <row r="208" spans="1:62" ht="33" customHeight="1" x14ac:dyDescent="0.25">
      <c r="A208" s="44" t="s">
        <v>405</v>
      </c>
      <c r="B208" s="58" t="s">
        <v>77</v>
      </c>
      <c r="C208" s="45">
        <v>1</v>
      </c>
      <c r="D208" s="55" t="s">
        <v>74</v>
      </c>
      <c r="E208" s="45" t="s">
        <v>21</v>
      </c>
      <c r="F208" s="46" t="e">
        <f>VLOOKUP(N208,#REF!,4,FALSE)</f>
        <v>#REF!</v>
      </c>
      <c r="G208" s="47" t="e">
        <f>VLOOKUP(N208,#REF!,5,FALSE)</f>
        <v>#REF!</v>
      </c>
      <c r="H208" s="240" t="s">
        <v>2000</v>
      </c>
      <c r="I208" s="240" t="s">
        <v>2001</v>
      </c>
      <c r="J208" s="242" t="str">
        <f>IFERROR(IF(N208&lt;&gt;"",M208,IF(I208 = PARÂMETROS!$B$5,Q208, IF(I208 = PARÂMETROS!$B$6,R208,IF(I208 = PARÂMETROS!$B$7,S208,IF(I208 = PARÂMETROS!$B$8, T208,"DEFINIR CRITÉRIO"))))),"SEM PREÇO")</f>
        <v>SEM PREÇO</v>
      </c>
      <c r="K208" s="241">
        <f t="shared" si="87"/>
        <v>0</v>
      </c>
      <c r="L208" s="238" t="str">
        <f t="shared" si="88"/>
        <v/>
      </c>
      <c r="M208" s="180" t="e">
        <f>F208</f>
        <v>#REF!</v>
      </c>
      <c r="N208" s="52" t="s">
        <v>1275</v>
      </c>
      <c r="O208" s="53" t="s">
        <v>422</v>
      </c>
      <c r="P208" s="235">
        <f t="shared" si="89"/>
        <v>0</v>
      </c>
      <c r="Q208" s="236">
        <f t="shared" si="90"/>
        <v>0</v>
      </c>
      <c r="R208" s="236">
        <f t="shared" si="91"/>
        <v>0</v>
      </c>
      <c r="S208" s="236">
        <f t="shared" si="92"/>
        <v>0</v>
      </c>
      <c r="T208" s="236">
        <f t="shared" si="93"/>
        <v>0</v>
      </c>
      <c r="U208" s="237" t="str">
        <f>IF(AA208 = "", "", IF(OR($H208 = PARÂMETROS!$E$5, $H208 = ""), AA208, IF(OR(AA208 &lt; (1-VLOOKUP($H208,PARÂMETROS!$E:$F,2,FALSE))*$P208, AA208 &gt; (1+VLOOKUP($H208,PARÂMETROS!$E:$F,2,FALSE))*$P208),"",AA208)))</f>
        <v/>
      </c>
      <c r="V208" s="237" t="str">
        <f>IF(AG208 = "", "", IF(OR($H208 = PARÂMETROS!$E$5, $H208 = ""), AG208, IF(OR(AG208 &lt; (1-VLOOKUP($H208,PARÂMETROS!$E:$F,2,FALSE))*$P213, AG208 &gt; (1+VLOOKUP($H208,PARÂMETROS!$E:$F,2,FALSE))*$P208),"",AG208)))</f>
        <v/>
      </c>
      <c r="W208" s="237" t="str">
        <f>IF(AM208 = "", "", IF(OR($H208 = PARÂMETROS!$E$5, $H208 = ""), AM208, IF(OR(AM208 &lt; (1-VLOOKUP($H208,PARÂMETROS!$E:$F,2,FALSE))*$P208, AM208 &gt; (1+VLOOKUP($H208,PARÂMETROS!$E:$F,2,FALSE))*$P208),"",AM208)))</f>
        <v/>
      </c>
      <c r="X208" s="237" t="str">
        <f>IF(AS208 = "", "", IF(OR($H208 = PARÂMETROS!$E$5, $H208 = ""), AS208, IF(OR(AS208 &lt; (1-VLOOKUP($H208,PARÂMETROS!$E:$F,2,FALSE))*$P208, AS208 &gt; (1+VLOOKUP($H208,PARÂMETROS!$E:$F,2,FALSE))*$P208),"",AS208)))</f>
        <v/>
      </c>
      <c r="Y208" s="237" t="str">
        <f>IF(AY208 = "", "", IF(OR($H208 = PARÂMETROS!$E$5, $H208 = ""), AY208, IF(OR(AY208 &lt; (1-VLOOKUP($H208,PARÂMETROS!$E:$F,2,FALSE))*$P208, AY208 &gt; (1+VLOOKUP($H208,PARÂMETROS!$E:$F,2,FALSE))*$P208),"",AY208)))</f>
        <v/>
      </c>
      <c r="Z208" s="237" t="str">
        <f>IF(BE208 = "", "", IF(OR($H208 = PARÂMETROS!$E$5, $H208 = ""), BE208, IF(OR(BE208 &lt; (1-VLOOKUP($H208,PARÂMETROS!$E:$F,2,FALSE))*$P208, BE208 &gt; (1+VLOOKUP($H208,PARÂMETROS!$E:$F,2,FALSE))*$P208),"",BE208)))</f>
        <v/>
      </c>
      <c r="AA208" s="207"/>
      <c r="AB208" s="208"/>
      <c r="AC208" s="206" t="str">
        <f>IF(AND(OR(AA208="",AA208=0),OR(AA208="",AB208=0)),"",IF(OR(AA208="",AA208=0),"DEFINIR PREÇO",IF(OR(AB208="",AB208=0),"DEFINIR FORNECEDOR",IF(OR(AA208&lt;&gt;"",AA208&lt;&gt;0),VLOOKUP(AB208,#REF!,2,FALSE)))))</f>
        <v/>
      </c>
      <c r="AD208" s="217"/>
      <c r="AE208" s="218"/>
      <c r="AF208" s="220" t="str">
        <f t="shared" ca="1" si="94"/>
        <v/>
      </c>
      <c r="AG208" s="229"/>
      <c r="AH208" s="231"/>
      <c r="AI208" s="206" t="str">
        <f>IF(AND(OR(AG208="",AG208=0),OR(AG208="",AH208=0)),"",IF(OR(AG208="",AG208=0),"DEFINIR PREÇO",IF(OR(AH208="",AH208=0),"DEFINIR FORNECEDOR",IF(OR(AG208&lt;&gt;"",AG208&lt;&gt;0),VLOOKUP(AH208,#REF!,2,FALSE)))))</f>
        <v/>
      </c>
      <c r="AJ208" s="217"/>
      <c r="AK208" s="218"/>
      <c r="AL208" s="220" t="str">
        <f t="shared" ca="1" si="95"/>
        <v/>
      </c>
      <c r="AM208" s="229"/>
      <c r="AN208" s="231"/>
      <c r="AO208" s="206" t="str">
        <f>IF(AND(OR(AM208="",AM208=0),OR(AM208="",AN208=0)),"",IF(OR(AM208="",AM208=0),"DEFINIR PREÇO",IF(OR(AN208="",AN208=0),"DEFINIR FORNECEDOR",IF(OR(AM208&lt;&gt;"",AM208&lt;&gt;0),VLOOKUP(AN208,#REF!,2,FALSE)))))</f>
        <v/>
      </c>
      <c r="AP208" s="217"/>
      <c r="AQ208" s="218"/>
      <c r="AR208" s="220" t="str">
        <f t="shared" ca="1" si="96"/>
        <v/>
      </c>
      <c r="AS208" s="229"/>
      <c r="AT208" s="231"/>
      <c r="AU208" s="194"/>
      <c r="AV208" s="217"/>
      <c r="AW208" s="218"/>
      <c r="AX208" s="220" t="str">
        <f t="shared" ca="1" si="97"/>
        <v/>
      </c>
      <c r="AY208" s="195"/>
      <c r="AZ208" s="196"/>
      <c r="BA208" s="209" t="str">
        <f>IF(AND(OR(AY208="",AY208=0),OR(AY208="",AZ208=0)),"",IF(OR(AY208="",AY208=0),"DEFINIR PREÇO",IF(OR(AZ208="",AZ208=0),"DEFINIR FORNECEDOR",IF(OR(AY208&lt;&gt;"",AY208&lt;&gt;0),VLOOKUP(AZ208,#REF!,2,FALSE)))))</f>
        <v/>
      </c>
      <c r="BB208" s="194"/>
      <c r="BC208" s="194"/>
      <c r="BD208" s="220" t="str">
        <f t="shared" ca="1" si="98"/>
        <v/>
      </c>
      <c r="BE208" s="195"/>
      <c r="BF208" s="196"/>
      <c r="BG208" s="194"/>
      <c r="BH208" s="194"/>
      <c r="BI208" s="194"/>
      <c r="BJ208" s="197"/>
    </row>
    <row r="209" spans="1:62" ht="30" x14ac:dyDescent="0.25">
      <c r="A209" s="44" t="s">
        <v>405</v>
      </c>
      <c r="B209" s="58" t="s">
        <v>1085</v>
      </c>
      <c r="C209" s="45"/>
      <c r="D209" s="55" t="s">
        <v>1086</v>
      </c>
      <c r="E209" s="45" t="s">
        <v>21</v>
      </c>
      <c r="F209" s="46" t="e">
        <f>VLOOKUP(B209,#REF!,4,FALSE)</f>
        <v>#REF!</v>
      </c>
      <c r="G209" s="47" t="e">
        <f>VLOOKUP(B209,#REF!,4,FALSE)</f>
        <v>#REF!</v>
      </c>
      <c r="H209" s="240" t="s">
        <v>2000</v>
      </c>
      <c r="I209" s="240" t="s">
        <v>2001</v>
      </c>
      <c r="J209" s="242" t="str">
        <f>IFERROR(IF(N209&lt;&gt;"",M209,IF(I209 = PARÂMETROS!$B$5,Q209, IF(I209 = PARÂMETROS!$B$6,R209,IF(I209 = PARÂMETROS!$B$7,S209,IF(I209 = PARÂMETROS!$B$8, T209,"DEFINIR CRITÉRIO"))))),"SEM PREÇO")</f>
        <v>DEFINIR CRITÉRIO</v>
      </c>
      <c r="K209" s="241" t="str">
        <f t="shared" si="87"/>
        <v/>
      </c>
      <c r="L209" s="238" t="str">
        <f t="shared" si="88"/>
        <v/>
      </c>
      <c r="M209" s="51"/>
      <c r="N209" s="52"/>
      <c r="O209" s="53" t="s">
        <v>26</v>
      </c>
      <c r="P209" s="235">
        <f t="shared" si="89"/>
        <v>3883.5566666666668</v>
      </c>
      <c r="Q209" s="236">
        <f t="shared" si="90"/>
        <v>0</v>
      </c>
      <c r="R209" s="236">
        <f t="shared" si="91"/>
        <v>0</v>
      </c>
      <c r="S209" s="236">
        <f t="shared" si="92"/>
        <v>0</v>
      </c>
      <c r="T209" s="236">
        <f t="shared" si="93"/>
        <v>0</v>
      </c>
      <c r="U209" s="237" t="e">
        <f>IF(AA209 = "", "", IF(OR($H209 = PARÂMETROS!$E$5, $H209 = ""), AA209, IF(OR(AA209 &lt; (1-VLOOKUP($H209,PARÂMETROS!$E:$F,2,FALSE))*$P209, AA209 &gt; (1+VLOOKUP($H209,PARÂMETROS!$E:$F,2,FALSE))*$P209),"",AA209)))</f>
        <v>#N/A</v>
      </c>
      <c r="V209" s="237" t="e">
        <f>IF(AG209 = "", "", IF(OR($H209 = PARÂMETROS!$E$5, $H209 = ""), AG209, IF(OR(AG209 &lt; (1-VLOOKUP($H209,PARÂMETROS!$E:$F,2,FALSE))*$P214, AG209 &gt; (1+VLOOKUP($H209,PARÂMETROS!$E:$F,2,FALSE))*$P209),"",AG209)))</f>
        <v>#N/A</v>
      </c>
      <c r="W209" s="237" t="e">
        <f>IF(AM209 = "", "", IF(OR($H209 = PARÂMETROS!$E$5, $H209 = ""), AM209, IF(OR(AM209 &lt; (1-VLOOKUP($H209,PARÂMETROS!$E:$F,2,FALSE))*$P209, AM209 &gt; (1+VLOOKUP($H209,PARÂMETROS!$E:$F,2,FALSE))*$P209),"",AM209)))</f>
        <v>#N/A</v>
      </c>
      <c r="X209" s="237" t="str">
        <f>IF(AS209 = "", "", IF(OR($H209 = PARÂMETROS!$E$5, $H209 = ""), AS209, IF(OR(AS209 &lt; (1-VLOOKUP($H209,PARÂMETROS!$E:$F,2,FALSE))*$P209, AS209 &gt; (1+VLOOKUP($H209,PARÂMETROS!$E:$F,2,FALSE))*$P209),"",AS209)))</f>
        <v/>
      </c>
      <c r="Y209" s="237" t="str">
        <f>IF(AY209 = "", "", IF(OR($H209 = PARÂMETROS!$E$5, $H209 = ""), AY209, IF(OR(AY209 &lt; (1-VLOOKUP($H209,PARÂMETROS!$E:$F,2,FALSE))*$P209, AY209 &gt; (1+VLOOKUP($H209,PARÂMETROS!$E:$F,2,FALSE))*$P209),"",AY209)))</f>
        <v/>
      </c>
      <c r="Z209" s="237" t="str">
        <f>IF(BE209 = "", "", IF(OR($H209 = PARÂMETROS!$E$5, $H209 = ""), BE209, IF(OR(BE209 &lt; (1-VLOOKUP($H209,PARÂMETROS!$E:$F,2,FALSE))*$P209, BE209 &gt; (1+VLOOKUP($H209,PARÂMETROS!$E:$F,2,FALSE))*$P209),"",BE209)))</f>
        <v/>
      </c>
      <c r="AA209" s="207">
        <v>3159.36</v>
      </c>
      <c r="AB209" s="208">
        <v>866</v>
      </c>
      <c r="AC209" s="206" t="e">
        <f>IF(AND(OR(AA209="",AA209=0),OR(AA209="",AB209=0)),"",IF(OR(AA209="",AA209=0),"DEFINIR PREÇO",IF(OR(AB209="",AB209=0),"DEFINIR FORNECEDOR",IF(OR(AA209&lt;&gt;"",AA209&lt;&gt;0),VLOOKUP(AB209,#REF!,2,FALSE)))))</f>
        <v>#REF!</v>
      </c>
      <c r="AD209" s="217" t="s">
        <v>1977</v>
      </c>
      <c r="AE209" s="218">
        <v>44935</v>
      </c>
      <c r="AF209" s="220" t="str">
        <f t="shared" ca="1" si="94"/>
        <v>DESATUALIZADA</v>
      </c>
      <c r="AG209" s="229">
        <v>3803.41</v>
      </c>
      <c r="AH209" s="231">
        <v>980</v>
      </c>
      <c r="AI209" s="206" t="e">
        <f>IF(AND(OR(AG209="",AG209=0),OR(AG209="",AH209=0)),"",IF(OR(AG209="",AG209=0),"DEFINIR PREÇO",IF(OR(AH209="",AH209=0),"DEFINIR FORNECEDOR",IF(OR(AG209&lt;&gt;"",AG209&lt;&gt;0),VLOOKUP(AH209,#REF!,2,FALSE)))))</f>
        <v>#REF!</v>
      </c>
      <c r="AJ209" s="217" t="s">
        <v>1977</v>
      </c>
      <c r="AK209" s="218">
        <v>44935</v>
      </c>
      <c r="AL209" s="220" t="str">
        <f t="shared" ca="1" si="95"/>
        <v>DESATUALIZADA</v>
      </c>
      <c r="AM209" s="229">
        <v>4687.8999999999996</v>
      </c>
      <c r="AN209" s="231">
        <v>2199</v>
      </c>
      <c r="AO209" s="206" t="e">
        <f>IF(AND(OR(AM209="",AM209=0),OR(AM209="",AN209=0)),"",IF(OR(AM209="",AM209=0),"DEFINIR PREÇO",IF(OR(AN209="",AN209=0),"DEFINIR FORNECEDOR",IF(OR(AM209&lt;&gt;"",AM209&lt;&gt;0),VLOOKUP(AN209,#REF!,2,FALSE)))))</f>
        <v>#REF!</v>
      </c>
      <c r="AP209" s="217" t="s">
        <v>1977</v>
      </c>
      <c r="AQ209" s="218">
        <v>44935</v>
      </c>
      <c r="AR209" s="220" t="str">
        <f t="shared" ca="1" si="96"/>
        <v>DESATUALIZADA</v>
      </c>
      <c r="AS209" s="229"/>
      <c r="AT209" s="231"/>
      <c r="AU209" s="194"/>
      <c r="AV209" s="217"/>
      <c r="AW209" s="218"/>
      <c r="AX209" s="220" t="str">
        <f t="shared" ca="1" si="97"/>
        <v/>
      </c>
      <c r="AY209" s="195"/>
      <c r="AZ209" s="196"/>
      <c r="BA209" s="209" t="str">
        <f>IF(AND(OR(AY209="",AY209=0),OR(AY209="",AZ209=0)),"",IF(OR(AY209="",AY209=0),"DEFINIR PREÇO",IF(OR(AZ209="",AZ209=0),"DEFINIR FORNECEDOR",IF(OR(AY209&lt;&gt;"",AY209&lt;&gt;0),VLOOKUP(AZ209,#REF!,2,FALSE)))))</f>
        <v/>
      </c>
      <c r="BB209" s="194"/>
      <c r="BC209" s="194"/>
      <c r="BD209" s="220" t="str">
        <f t="shared" ca="1" si="98"/>
        <v/>
      </c>
      <c r="BE209" s="195"/>
      <c r="BF209" s="196"/>
      <c r="BG209" s="194"/>
      <c r="BH209" s="194"/>
      <c r="BI209" s="194"/>
      <c r="BJ209" s="197"/>
    </row>
    <row r="210" spans="1:62" ht="25.5" customHeight="1" x14ac:dyDescent="0.25">
      <c r="A210" s="44" t="s">
        <v>405</v>
      </c>
      <c r="B210" s="45" t="s">
        <v>80</v>
      </c>
      <c r="C210" s="45">
        <v>4</v>
      </c>
      <c r="D210" s="61" t="s">
        <v>401</v>
      </c>
      <c r="E210" s="45" t="s">
        <v>79</v>
      </c>
      <c r="F210" s="46" t="e">
        <f>VLOOKUP(B210,#REF!,4,FALSE)</f>
        <v>#REF!</v>
      </c>
      <c r="G210" s="47" t="e">
        <f>VLOOKUP(B210,#REF!,4,FALSE)</f>
        <v>#REF!</v>
      </c>
      <c r="H210" s="240" t="s">
        <v>2000</v>
      </c>
      <c r="I210" s="240" t="s">
        <v>2001</v>
      </c>
      <c r="J210" s="48">
        <f>SUM(J211:J212)</f>
        <v>0</v>
      </c>
      <c r="K210" s="241">
        <f t="shared" si="87"/>
        <v>0</v>
      </c>
      <c r="L210" s="238" t="str">
        <f t="shared" si="88"/>
        <v/>
      </c>
      <c r="M210" s="51"/>
      <c r="N210" s="52"/>
      <c r="O210" s="53" t="s">
        <v>26</v>
      </c>
      <c r="P210" s="235">
        <f t="shared" si="89"/>
        <v>0</v>
      </c>
      <c r="Q210" s="236">
        <f t="shared" si="90"/>
        <v>0</v>
      </c>
      <c r="R210" s="236">
        <f t="shared" si="91"/>
        <v>0</v>
      </c>
      <c r="S210" s="236">
        <f t="shared" si="92"/>
        <v>0</v>
      </c>
      <c r="T210" s="236">
        <f t="shared" si="93"/>
        <v>0</v>
      </c>
      <c r="U210" s="237" t="str">
        <f>IF(AA210 = "", "", IF(OR($H210 = PARÂMETROS!$E$5, $H210 = ""), AA210, IF(OR(AA210 &lt; (1-VLOOKUP($H210,PARÂMETROS!$E:$F,2,FALSE))*$P210, AA210 &gt; (1+VLOOKUP($H210,PARÂMETROS!$E:$F,2,FALSE))*$P210),"",AA210)))</f>
        <v/>
      </c>
      <c r="V210" s="237" t="str">
        <f>IF(AG210 = "", "", IF(OR($H210 = PARÂMETROS!$E$5, $H210 = ""), AG210, IF(OR(AG210 &lt; (1-VLOOKUP($H210,PARÂMETROS!$E:$F,2,FALSE))*$P215, AG210 &gt; (1+VLOOKUP($H210,PARÂMETROS!$E:$F,2,FALSE))*$P210),"",AG210)))</f>
        <v/>
      </c>
      <c r="W210" s="237" t="str">
        <f>IF(AM210 = "", "", IF(OR($H210 = PARÂMETROS!$E$5, $H210 = ""), AM210, IF(OR(AM210 &lt; (1-VLOOKUP($H210,PARÂMETROS!$E:$F,2,FALSE))*$P210, AM210 &gt; (1+VLOOKUP($H210,PARÂMETROS!$E:$F,2,FALSE))*$P210),"",AM210)))</f>
        <v/>
      </c>
      <c r="X210" s="237" t="str">
        <f>IF(AS210 = "", "", IF(OR($H210 = PARÂMETROS!$E$5, $H210 = ""), AS210, IF(OR(AS210 &lt; (1-VLOOKUP($H210,PARÂMETROS!$E:$F,2,FALSE))*$P210, AS210 &gt; (1+VLOOKUP($H210,PARÂMETROS!$E:$F,2,FALSE))*$P210),"",AS210)))</f>
        <v/>
      </c>
      <c r="Y210" s="237" t="str">
        <f>IF(AY210 = "", "", IF(OR($H210 = PARÂMETROS!$E$5, $H210 = ""), AY210, IF(OR(AY210 &lt; (1-VLOOKUP($H210,PARÂMETROS!$E:$F,2,FALSE))*$P210, AY210 &gt; (1+VLOOKUP($H210,PARÂMETROS!$E:$F,2,FALSE))*$P210),"",AY210)))</f>
        <v/>
      </c>
      <c r="Z210" s="237" t="str">
        <f>IF(BE210 = "", "", IF(OR($H210 = PARÂMETROS!$E$5, $H210 = ""), BE210, IF(OR(BE210 &lt; (1-VLOOKUP($H210,PARÂMETROS!$E:$F,2,FALSE))*$P210, BE210 &gt; (1+VLOOKUP($H210,PARÂMETROS!$E:$F,2,FALSE))*$P210),"",BE210)))</f>
        <v/>
      </c>
      <c r="AA210" s="207"/>
      <c r="AB210" s="208"/>
      <c r="AC210" s="206" t="str">
        <f>IF(AND(OR(AA210="",AA210=0),OR(AA210="",AB210=0)),"",IF(OR(AA210="",AA210=0),"DEFINIR PREÇO",IF(OR(AB210="",AB210=0),"DEFINIR FORNECEDOR",IF(OR(AA210&lt;&gt;"",AA210&lt;&gt;0),VLOOKUP(AB210,#REF!,2,FALSE)))))</f>
        <v/>
      </c>
      <c r="AD210" s="217"/>
      <c r="AE210" s="218"/>
      <c r="AF210" s="220" t="str">
        <f t="shared" ca="1" si="94"/>
        <v/>
      </c>
      <c r="AG210" s="229"/>
      <c r="AH210" s="231"/>
      <c r="AI210" s="206" t="str">
        <f>IF(AND(OR(AG210="",AG210=0),OR(AG210="",AH210=0)),"",IF(OR(AG210="",AG210=0),"DEFINIR PREÇO",IF(OR(AH210="",AH210=0),"DEFINIR FORNECEDOR",IF(OR(AG210&lt;&gt;"",AG210&lt;&gt;0),VLOOKUP(AH210,#REF!,2,FALSE)))))</f>
        <v/>
      </c>
      <c r="AJ210" s="217"/>
      <c r="AK210" s="218"/>
      <c r="AL210" s="220" t="str">
        <f t="shared" ca="1" si="95"/>
        <v/>
      </c>
      <c r="AM210" s="229"/>
      <c r="AN210" s="231"/>
      <c r="AO210" s="206" t="str">
        <f>IF(AND(OR(AM210="",AM210=0),OR(AM210="",AN210=0)),"",IF(OR(AM210="",AM210=0),"DEFINIR PREÇO",IF(OR(AN210="",AN210=0),"DEFINIR FORNECEDOR",IF(OR(AM210&lt;&gt;"",AM210&lt;&gt;0),VLOOKUP(AN210,#REF!,2,FALSE)))))</f>
        <v/>
      </c>
      <c r="AP210" s="217"/>
      <c r="AQ210" s="218"/>
      <c r="AR210" s="220" t="str">
        <f t="shared" ca="1" si="96"/>
        <v/>
      </c>
      <c r="AS210" s="229"/>
      <c r="AT210" s="231"/>
      <c r="AU210" s="194"/>
      <c r="AV210" s="217"/>
      <c r="AW210" s="218"/>
      <c r="AX210" s="220" t="str">
        <f t="shared" ca="1" si="97"/>
        <v/>
      </c>
      <c r="AY210" s="195"/>
      <c r="AZ210" s="196"/>
      <c r="BA210" s="209" t="str">
        <f>IF(AND(OR(AY210="",AY210=0),OR(AY210="",AZ210=0)),"",IF(OR(AY210="",AY210=0),"DEFINIR PREÇO",IF(OR(AZ210="",AZ210=0),"DEFINIR FORNECEDOR",IF(OR(AY210&lt;&gt;"",AY210&lt;&gt;0),VLOOKUP(AZ210,#REF!,2,FALSE)))))</f>
        <v/>
      </c>
      <c r="BB210" s="194"/>
      <c r="BC210" s="194"/>
      <c r="BD210" s="220" t="str">
        <f t="shared" ca="1" si="98"/>
        <v/>
      </c>
      <c r="BE210" s="195"/>
      <c r="BF210" s="196"/>
      <c r="BG210" s="194"/>
      <c r="BH210" s="194"/>
      <c r="BI210" s="194"/>
      <c r="BJ210" s="197"/>
    </row>
    <row r="211" spans="1:62" ht="25.5" customHeight="1" x14ac:dyDescent="0.25">
      <c r="A211" s="44"/>
      <c r="B211" s="45"/>
      <c r="C211" s="45"/>
      <c r="D211" s="140" t="s">
        <v>1037</v>
      </c>
      <c r="E211" s="45"/>
      <c r="F211" s="46"/>
      <c r="G211" s="47"/>
      <c r="H211" s="240" t="s">
        <v>2000</v>
      </c>
      <c r="I211" s="240" t="s">
        <v>2001</v>
      </c>
      <c r="J211" s="242" t="str">
        <f>IFERROR(IF(N211&lt;&gt;"",M211,IF(I211 = PARÂMETROS!$B$5,Q211, IF(I211 = PARÂMETROS!$B$6,R211,IF(I211 = PARÂMETROS!$B$7,S211,IF(I211 = PARÂMETROS!$B$8, T211,"DEFINIR CRITÉRIO"))))),"SEM PREÇO")</f>
        <v>DEFINIR CRITÉRIO</v>
      </c>
      <c r="K211" s="241" t="str">
        <f t="shared" si="87"/>
        <v/>
      </c>
      <c r="L211" s="238" t="str">
        <f t="shared" si="88"/>
        <v/>
      </c>
      <c r="M211" s="51"/>
      <c r="N211" s="52"/>
      <c r="O211" s="53"/>
      <c r="P211" s="235">
        <f t="shared" si="89"/>
        <v>413.49333333333334</v>
      </c>
      <c r="Q211" s="236">
        <f t="shared" si="90"/>
        <v>0</v>
      </c>
      <c r="R211" s="236">
        <f t="shared" si="91"/>
        <v>0</v>
      </c>
      <c r="S211" s="236">
        <f t="shared" si="92"/>
        <v>0</v>
      </c>
      <c r="T211" s="236">
        <f t="shared" si="93"/>
        <v>0</v>
      </c>
      <c r="U211" s="237" t="e">
        <f>IF(AA211 = "", "", IF(OR($H211 = PARÂMETROS!$E$5, $H211 = ""), AA211, IF(OR(AA211 &lt; (1-VLOOKUP($H211,PARÂMETROS!$E:$F,2,FALSE))*$P211, AA211 &gt; (1+VLOOKUP($H211,PARÂMETROS!$E:$F,2,FALSE))*$P211),"",AA211)))</f>
        <v>#N/A</v>
      </c>
      <c r="V211" s="237" t="e">
        <f>IF(AG211 = "", "", IF(OR($H211 = PARÂMETROS!$E$5, $H211 = ""), AG211, IF(OR(AG211 &lt; (1-VLOOKUP($H211,PARÂMETROS!$E:$F,2,FALSE))*$P216, AG211 &gt; (1+VLOOKUP($H211,PARÂMETROS!$E:$F,2,FALSE))*$P211),"",AG211)))</f>
        <v>#N/A</v>
      </c>
      <c r="W211" s="237" t="e">
        <f>IF(AM211 = "", "", IF(OR($H211 = PARÂMETROS!$E$5, $H211 = ""), AM211, IF(OR(AM211 &lt; (1-VLOOKUP($H211,PARÂMETROS!$E:$F,2,FALSE))*$P211, AM211 &gt; (1+VLOOKUP($H211,PARÂMETROS!$E:$F,2,FALSE))*$P211),"",AM211)))</f>
        <v>#N/A</v>
      </c>
      <c r="X211" s="237" t="str">
        <f>IF(AS211 = "", "", IF(OR($H211 = PARÂMETROS!$E$5, $H211 = ""), AS211, IF(OR(AS211 &lt; (1-VLOOKUP($H211,PARÂMETROS!$E:$F,2,FALSE))*$P211, AS211 &gt; (1+VLOOKUP($H211,PARÂMETROS!$E:$F,2,FALSE))*$P211),"",AS211)))</f>
        <v/>
      </c>
      <c r="Y211" s="237" t="str">
        <f>IF(AY211 = "", "", IF(OR($H211 = PARÂMETROS!$E$5, $H211 = ""), AY211, IF(OR(AY211 &lt; (1-VLOOKUP($H211,PARÂMETROS!$E:$F,2,FALSE))*$P211, AY211 &gt; (1+VLOOKUP($H211,PARÂMETROS!$E:$F,2,FALSE))*$P211),"",AY211)))</f>
        <v/>
      </c>
      <c r="Z211" s="237" t="str">
        <f>IF(BE211 = "", "", IF(OR($H211 = PARÂMETROS!$E$5, $H211 = ""), BE211, IF(OR(BE211 &lt; (1-VLOOKUP($H211,PARÂMETROS!$E:$F,2,FALSE))*$P211, BE211 &gt; (1+VLOOKUP($H211,PARÂMETROS!$E:$F,2,FALSE))*$P211),"",BE211)))</f>
        <v/>
      </c>
      <c r="AA211" s="207">
        <v>266.7</v>
      </c>
      <c r="AB211" s="208">
        <v>866</v>
      </c>
      <c r="AC211" s="206" t="e">
        <f>IF(AND(OR(AA211="",AA211=0),OR(AA211="",AB211=0)),"",IF(OR(AA211="",AA211=0),"DEFINIR PREÇO",IF(OR(AB211="",AB211=0),"DEFINIR FORNECEDOR",IF(OR(AA211&lt;&gt;"",AA211&lt;&gt;0),VLOOKUP(AB211,#REF!,2,FALSE)))))</f>
        <v>#REF!</v>
      </c>
      <c r="AD211" s="217" t="s">
        <v>1977</v>
      </c>
      <c r="AE211" s="218">
        <v>44924</v>
      </c>
      <c r="AF211" s="220" t="str">
        <f t="shared" ca="1" si="94"/>
        <v>DESATUALIZADA</v>
      </c>
      <c r="AG211" s="229">
        <v>388.78</v>
      </c>
      <c r="AH211" s="231">
        <v>348</v>
      </c>
      <c r="AI211" s="206" t="e">
        <f>IF(AND(OR(AG211="",AG211=0),OR(AG211="",AH211=0)),"",IF(OR(AG211="",AG211=0),"DEFINIR PREÇO",IF(OR(AH211="",AH211=0),"DEFINIR FORNECEDOR",IF(OR(AG211&lt;&gt;"",AG211&lt;&gt;0),VLOOKUP(AH211,#REF!,2,FALSE)))))</f>
        <v>#REF!</v>
      </c>
      <c r="AJ211" s="217" t="s">
        <v>1977</v>
      </c>
      <c r="AK211" s="218">
        <v>44924</v>
      </c>
      <c r="AL211" s="220" t="str">
        <f t="shared" ca="1" si="95"/>
        <v>DESATUALIZADA</v>
      </c>
      <c r="AM211" s="229">
        <v>585</v>
      </c>
      <c r="AN211" s="231">
        <v>867</v>
      </c>
      <c r="AO211" s="206" t="e">
        <f>IF(AND(OR(AM211="",AM211=0),OR(AM211="",AN211=0)),"",IF(OR(AM211="",AM211=0),"DEFINIR PREÇO",IF(OR(AN211="",AN211=0),"DEFINIR FORNECEDOR",IF(OR(AM211&lt;&gt;"",AM211&lt;&gt;0),VLOOKUP(AN211,#REF!,2,FALSE)))))</f>
        <v>#REF!</v>
      </c>
      <c r="AP211" s="217" t="s">
        <v>1977</v>
      </c>
      <c r="AQ211" s="218">
        <v>44924</v>
      </c>
      <c r="AR211" s="220" t="str">
        <f t="shared" ca="1" si="96"/>
        <v>DESATUALIZADA</v>
      </c>
      <c r="AS211" s="229"/>
      <c r="AT211" s="231"/>
      <c r="AU211" s="194"/>
      <c r="AV211" s="217"/>
      <c r="AW211" s="218"/>
      <c r="AX211" s="220" t="str">
        <f t="shared" ca="1" si="97"/>
        <v/>
      </c>
      <c r="AY211" s="195"/>
      <c r="AZ211" s="196"/>
      <c r="BA211" s="209" t="str">
        <f>IF(AND(OR(AY211="",AY211=0),OR(AY211="",AZ211=0)),"",IF(OR(AY211="",AY211=0),"DEFINIR PREÇO",IF(OR(AZ211="",AZ211=0),"DEFINIR FORNECEDOR",IF(OR(AY211&lt;&gt;"",AY211&lt;&gt;0),VLOOKUP(AZ211,#REF!,2,FALSE)))))</f>
        <v/>
      </c>
      <c r="BB211" s="194"/>
      <c r="BC211" s="194"/>
      <c r="BD211" s="220" t="str">
        <f t="shared" ca="1" si="98"/>
        <v/>
      </c>
      <c r="BE211" s="195"/>
      <c r="BF211" s="196"/>
      <c r="BG211" s="194"/>
      <c r="BH211" s="194"/>
      <c r="BI211" s="194"/>
      <c r="BJ211" s="197"/>
    </row>
    <row r="212" spans="1:62" ht="25.5" customHeight="1" x14ac:dyDescent="0.25">
      <c r="A212" s="44"/>
      <c r="B212" s="45"/>
      <c r="C212" s="45"/>
      <c r="D212" s="140" t="s">
        <v>1045</v>
      </c>
      <c r="E212" s="45"/>
      <c r="F212" s="46"/>
      <c r="G212" s="47"/>
      <c r="H212" s="240" t="s">
        <v>2000</v>
      </c>
      <c r="I212" s="240" t="s">
        <v>2001</v>
      </c>
      <c r="J212" s="242" t="str">
        <f>IFERROR(IF(N212&lt;&gt;"",M212,IF(I212 = PARÂMETROS!$B$5,Q212, IF(I212 = PARÂMETROS!$B$6,R212,IF(I212 = PARÂMETROS!$B$7,S212,IF(I212 = PARÂMETROS!$B$8, T212,"DEFINIR CRITÉRIO"))))),"SEM PREÇO")</f>
        <v>DEFINIR CRITÉRIO</v>
      </c>
      <c r="K212" s="241" t="str">
        <f t="shared" si="87"/>
        <v/>
      </c>
      <c r="L212" s="238" t="str">
        <f t="shared" si="88"/>
        <v/>
      </c>
      <c r="M212" s="51"/>
      <c r="N212" s="52"/>
      <c r="O212" s="53"/>
      <c r="P212" s="235">
        <f t="shared" si="89"/>
        <v>479.01666666666665</v>
      </c>
      <c r="Q212" s="236">
        <f t="shared" si="90"/>
        <v>0</v>
      </c>
      <c r="R212" s="236">
        <f t="shared" si="91"/>
        <v>0</v>
      </c>
      <c r="S212" s="236">
        <f t="shared" si="92"/>
        <v>0</v>
      </c>
      <c r="T212" s="236">
        <f t="shared" si="93"/>
        <v>0</v>
      </c>
      <c r="U212" s="237" t="e">
        <f>IF(AA212 = "", "", IF(OR($H212 = PARÂMETROS!$E$5, $H212 = ""), AA212, IF(OR(AA212 &lt; (1-VLOOKUP($H212,PARÂMETROS!$E:$F,2,FALSE))*$P212, AA212 &gt; (1+VLOOKUP($H212,PARÂMETROS!$E:$F,2,FALSE))*$P212),"",AA212)))</f>
        <v>#N/A</v>
      </c>
      <c r="V212" s="237" t="e">
        <f>IF(AG212 = "", "", IF(OR($H212 = PARÂMETROS!$E$5, $H212 = ""), AG212, IF(OR(AG212 &lt; (1-VLOOKUP($H212,PARÂMETROS!$E:$F,2,FALSE))*$P217, AG212 &gt; (1+VLOOKUP($H212,PARÂMETROS!$E:$F,2,FALSE))*$P212),"",AG212)))</f>
        <v>#N/A</v>
      </c>
      <c r="W212" s="237" t="e">
        <f>IF(AM212 = "", "", IF(OR($H212 = PARÂMETROS!$E$5, $H212 = ""), AM212, IF(OR(AM212 &lt; (1-VLOOKUP($H212,PARÂMETROS!$E:$F,2,FALSE))*$P212, AM212 &gt; (1+VLOOKUP($H212,PARÂMETROS!$E:$F,2,FALSE))*$P212),"",AM212)))</f>
        <v>#N/A</v>
      </c>
      <c r="X212" s="237" t="str">
        <f>IF(AS212 = "", "", IF(OR($H212 = PARÂMETROS!$E$5, $H212 = ""), AS212, IF(OR(AS212 &lt; (1-VLOOKUP($H212,PARÂMETROS!$E:$F,2,FALSE))*$P212, AS212 &gt; (1+VLOOKUP($H212,PARÂMETROS!$E:$F,2,FALSE))*$P212),"",AS212)))</f>
        <v/>
      </c>
      <c r="Y212" s="237" t="str">
        <f>IF(AY212 = "", "", IF(OR($H212 = PARÂMETROS!$E$5, $H212 = ""), AY212, IF(OR(AY212 &lt; (1-VLOOKUP($H212,PARÂMETROS!$E:$F,2,FALSE))*$P212, AY212 &gt; (1+VLOOKUP($H212,PARÂMETROS!$E:$F,2,FALSE))*$P212),"",AY212)))</f>
        <v/>
      </c>
      <c r="Z212" s="237" t="str">
        <f>IF(BE212 = "", "", IF(OR($H212 = PARÂMETROS!$E$5, $H212 = ""), BE212, IF(OR(BE212 &lt; (1-VLOOKUP($H212,PARÂMETROS!$E:$F,2,FALSE))*$P212, BE212 &gt; (1+VLOOKUP($H212,PARÂMETROS!$E:$F,2,FALSE))*$P212),"",BE212)))</f>
        <v/>
      </c>
      <c r="AA212" s="207">
        <v>590</v>
      </c>
      <c r="AB212" s="208">
        <v>957</v>
      </c>
      <c r="AC212" s="206" t="e">
        <f>IF(AND(OR(AA212="",AA212=0),OR(AA212="",AB212=0)),"",IF(OR(AA212="",AA212=0),"DEFINIR PREÇO",IF(OR(AB212="",AB212=0),"DEFINIR FORNECEDOR",IF(OR(AA212&lt;&gt;"",AA212&lt;&gt;0),VLOOKUP(AB212,#REF!,2,FALSE)))))</f>
        <v>#REF!</v>
      </c>
      <c r="AD212" s="217" t="s">
        <v>1977</v>
      </c>
      <c r="AE212" s="218">
        <v>44924</v>
      </c>
      <c r="AF212" s="220" t="str">
        <f t="shared" ca="1" si="94"/>
        <v>DESATUALIZADA</v>
      </c>
      <c r="AG212" s="229">
        <v>391.77</v>
      </c>
      <c r="AH212" s="231">
        <v>348</v>
      </c>
      <c r="AI212" s="206" t="e">
        <f>IF(AND(OR(AG212="",AG212=0),OR(AG212="",AH212=0)),"",IF(OR(AG212="",AG212=0),"DEFINIR PREÇO",IF(OR(AH212="",AH212=0),"DEFINIR FORNECEDOR",IF(OR(AG212&lt;&gt;"",AG212&lt;&gt;0),VLOOKUP(AH212,#REF!,2,FALSE)))))</f>
        <v>#REF!</v>
      </c>
      <c r="AJ212" s="217" t="s">
        <v>1977</v>
      </c>
      <c r="AK212" s="218">
        <v>44924</v>
      </c>
      <c r="AL212" s="220" t="str">
        <f t="shared" ca="1" si="95"/>
        <v>DESATUALIZADA</v>
      </c>
      <c r="AM212" s="229">
        <v>455.28</v>
      </c>
      <c r="AN212" s="231">
        <v>2175</v>
      </c>
      <c r="AO212" s="206" t="e">
        <f>IF(AND(OR(AM212="",AM212=0),OR(AM212="",AN212=0)),"",IF(OR(AM212="",AM212=0),"DEFINIR PREÇO",IF(OR(AN212="",AN212=0),"DEFINIR FORNECEDOR",IF(OR(AM212&lt;&gt;"",AM212&lt;&gt;0),VLOOKUP(AN212,#REF!,2,FALSE)))))</f>
        <v>#REF!</v>
      </c>
      <c r="AP212" s="217" t="s">
        <v>1977</v>
      </c>
      <c r="AQ212" s="218">
        <v>44924</v>
      </c>
      <c r="AR212" s="220" t="str">
        <f t="shared" ca="1" si="96"/>
        <v>DESATUALIZADA</v>
      </c>
      <c r="AS212" s="229"/>
      <c r="AT212" s="231"/>
      <c r="AU212" s="194"/>
      <c r="AV212" s="217"/>
      <c r="AW212" s="218"/>
      <c r="AX212" s="220" t="str">
        <f t="shared" ca="1" si="97"/>
        <v/>
      </c>
      <c r="AY212" s="195"/>
      <c r="AZ212" s="196"/>
      <c r="BA212" s="209" t="str">
        <f>IF(AND(OR(AY212="",AY212=0),OR(AY212="",AZ212=0)),"",IF(OR(AY212="",AY212=0),"DEFINIR PREÇO",IF(OR(AZ212="",AZ212=0),"DEFINIR FORNECEDOR",IF(OR(AY212&lt;&gt;"",AY212&lt;&gt;0),VLOOKUP(AZ212,#REF!,2,FALSE)))))</f>
        <v/>
      </c>
      <c r="BB212" s="194"/>
      <c r="BC212" s="194"/>
      <c r="BD212" s="220" t="str">
        <f t="shared" ca="1" si="98"/>
        <v/>
      </c>
      <c r="BE212" s="195"/>
      <c r="BF212" s="196"/>
      <c r="BG212" s="194"/>
      <c r="BH212" s="194"/>
      <c r="BI212" s="194"/>
      <c r="BJ212" s="197"/>
    </row>
    <row r="213" spans="1:62" ht="30" x14ac:dyDescent="0.25">
      <c r="A213" s="44" t="s">
        <v>405</v>
      </c>
      <c r="B213" s="58" t="s">
        <v>83</v>
      </c>
      <c r="C213" s="45">
        <v>4</v>
      </c>
      <c r="D213" s="55" t="s">
        <v>81</v>
      </c>
      <c r="E213" s="45" t="s">
        <v>79</v>
      </c>
      <c r="F213" s="46" t="e">
        <f>VLOOKUP(B213,#REF!,7,FALSE)</f>
        <v>#REF!</v>
      </c>
      <c r="G213" s="47" t="e">
        <f>VLOOKUP(B213,#REF!,7,FALSE)</f>
        <v>#REF!</v>
      </c>
      <c r="H213" s="240" t="s">
        <v>2000</v>
      </c>
      <c r="I213" s="240" t="s">
        <v>2001</v>
      </c>
      <c r="J213" s="242" t="str">
        <f>IFERROR(IF(N213&lt;&gt;"",M213,IF(I213 = PARÂMETROS!$B$5,Q213, IF(I213 = PARÂMETROS!$B$6,R213,IF(I213 = PARÂMETROS!$B$7,S213,IF(I213 = PARÂMETROS!$B$8, T213,"DEFINIR CRITÉRIO"))))),"SEM PREÇO")</f>
        <v>DEFINIR CRITÉRIO</v>
      </c>
      <c r="K213" s="241" t="str">
        <f t="shared" si="87"/>
        <v/>
      </c>
      <c r="L213" s="238" t="str">
        <f t="shared" si="88"/>
        <v/>
      </c>
      <c r="M213" s="51"/>
      <c r="N213" s="52"/>
      <c r="O213" s="53" t="s">
        <v>26</v>
      </c>
      <c r="P213" s="235">
        <f t="shared" si="89"/>
        <v>3069.9749999999999</v>
      </c>
      <c r="Q213" s="236">
        <f t="shared" si="90"/>
        <v>0</v>
      </c>
      <c r="R213" s="236">
        <f t="shared" si="91"/>
        <v>0</v>
      </c>
      <c r="S213" s="236">
        <f t="shared" si="92"/>
        <v>0</v>
      </c>
      <c r="T213" s="236">
        <f t="shared" si="93"/>
        <v>0</v>
      </c>
      <c r="U213" s="237" t="e">
        <f>IF(AA213 = "", "", IF(OR($H213 = PARÂMETROS!$E$5, $H213 = ""), AA213, IF(OR(AA213 &lt; (1-VLOOKUP($H213,PARÂMETROS!$E:$F,2,FALSE))*$P213, AA213 &gt; (1+VLOOKUP($H213,PARÂMETROS!$E:$F,2,FALSE))*$P213),"",AA213)))</f>
        <v>#N/A</v>
      </c>
      <c r="V213" s="237" t="e">
        <f>IF(AG213 = "", "", IF(OR($H213 = PARÂMETROS!$E$5, $H213 = ""), AG213, IF(OR(AG213 &lt; (1-VLOOKUP($H213,PARÂMETROS!$E:$F,2,FALSE))*$P218, AG213 &gt; (1+VLOOKUP($H213,PARÂMETROS!$E:$F,2,FALSE))*$P213),"",AG213)))</f>
        <v>#N/A</v>
      </c>
      <c r="W213" s="237" t="e">
        <f>IF(AM213 = "", "", IF(OR($H213 = PARÂMETROS!$E$5, $H213 = ""), AM213, IF(OR(AM213 &lt; (1-VLOOKUP($H213,PARÂMETROS!$E:$F,2,FALSE))*$P213, AM213 &gt; (1+VLOOKUP($H213,PARÂMETROS!$E:$F,2,FALSE))*$P213),"",AM213)))</f>
        <v>#N/A</v>
      </c>
      <c r="X213" s="237" t="e">
        <f>IF(AS213 = "", "", IF(OR($H213 = PARÂMETROS!$E$5, $H213 = ""), AS213, IF(OR(AS213 &lt; (1-VLOOKUP($H213,PARÂMETROS!$E:$F,2,FALSE))*$P213, AS213 &gt; (1+VLOOKUP($H213,PARÂMETROS!$E:$F,2,FALSE))*$P213),"",AS213)))</f>
        <v>#N/A</v>
      </c>
      <c r="Y213" s="237" t="str">
        <f>IF(AY213 = "", "", IF(OR($H213 = PARÂMETROS!$E$5, $H213 = ""), AY213, IF(OR(AY213 &lt; (1-VLOOKUP($H213,PARÂMETROS!$E:$F,2,FALSE))*$P213, AY213 &gt; (1+VLOOKUP($H213,PARÂMETROS!$E:$F,2,FALSE))*$P213),"",AY213)))</f>
        <v/>
      </c>
      <c r="Z213" s="237" t="str">
        <f>IF(BE213 = "", "", IF(OR($H213 = PARÂMETROS!$E$5, $H213 = ""), BE213, IF(OR(BE213 &lt; (1-VLOOKUP($H213,PARÂMETROS!$E:$F,2,FALSE))*$P213, BE213 &gt; (1+VLOOKUP($H213,PARÂMETROS!$E:$F,2,FALSE))*$P213),"",BE213)))</f>
        <v/>
      </c>
      <c r="AA213" s="207">
        <v>1800</v>
      </c>
      <c r="AB213" s="208">
        <v>1889</v>
      </c>
      <c r="AC213" s="206" t="e">
        <f>IF(AND(OR(AA213="",AA213=0),OR(AA213="",AB213=0)),"",IF(OR(AA213="",AA213=0),"DEFINIR PREÇO",IF(OR(AB213="",AB213=0),"DEFINIR FORNECEDOR",IF(OR(AA213&lt;&gt;"",AA213&lt;&gt;0),VLOOKUP(AB213,#REF!,2,FALSE)))))</f>
        <v>#REF!</v>
      </c>
      <c r="AD213" s="217" t="s">
        <v>1977</v>
      </c>
      <c r="AE213" s="218">
        <v>44924</v>
      </c>
      <c r="AF213" s="220" t="str">
        <f t="shared" ca="1" si="94"/>
        <v>DESATUALIZADA</v>
      </c>
      <c r="AG213" s="229">
        <v>3000</v>
      </c>
      <c r="AH213" s="231">
        <v>1088</v>
      </c>
      <c r="AI213" s="206" t="e">
        <f>IF(AND(OR(AG213="",AG213=0),OR(AG213="",AH213=0)),"",IF(OR(AG213="",AG213=0),"DEFINIR PREÇO",IF(OR(AH213="",AH213=0),"DEFINIR FORNECEDOR",IF(OR(AG213&lt;&gt;"",AG213&lt;&gt;0),VLOOKUP(AH213,#REF!,2,FALSE)))))</f>
        <v>#REF!</v>
      </c>
      <c r="AJ213" s="217" t="s">
        <v>2016</v>
      </c>
      <c r="AK213" s="218">
        <v>44945</v>
      </c>
      <c r="AL213" s="220" t="str">
        <f t="shared" ca="1" si="95"/>
        <v>DESATUALIZADA</v>
      </c>
      <c r="AM213" s="229">
        <v>2200</v>
      </c>
      <c r="AN213" s="231">
        <v>2221</v>
      </c>
      <c r="AO213" s="206"/>
      <c r="AP213" s="217" t="s">
        <v>1977</v>
      </c>
      <c r="AQ213" s="218">
        <v>44945</v>
      </c>
      <c r="AR213" s="220" t="str">
        <f t="shared" ca="1" si="96"/>
        <v>DESATUALIZADA</v>
      </c>
      <c r="AS213" s="229">
        <v>5279.9</v>
      </c>
      <c r="AT213" s="231">
        <v>2222</v>
      </c>
      <c r="AU213" s="194"/>
      <c r="AV213" s="217" t="s">
        <v>2020</v>
      </c>
      <c r="AW213" s="218">
        <v>44945</v>
      </c>
      <c r="AX213" s="220" t="str">
        <f t="shared" ca="1" si="97"/>
        <v>DESATUALIZADA</v>
      </c>
      <c r="AY213" s="195"/>
      <c r="AZ213" s="196"/>
      <c r="BA213" s="209" t="str">
        <f>IF(AND(OR(AY213="",AY213=0),OR(AY213="",AZ213=0)),"",IF(OR(AY213="",AY213=0),"DEFINIR PREÇO",IF(OR(AZ213="",AZ213=0),"DEFINIR FORNECEDOR",IF(OR(AY213&lt;&gt;"",AY213&lt;&gt;0),VLOOKUP(AZ213,#REF!,2,FALSE)))))</f>
        <v/>
      </c>
      <c r="BB213" s="194"/>
      <c r="BC213" s="194"/>
      <c r="BD213" s="220" t="str">
        <f t="shared" ca="1" si="98"/>
        <v/>
      </c>
      <c r="BE213" s="195"/>
      <c r="BF213" s="196"/>
      <c r="BG213" s="194"/>
      <c r="BH213" s="194"/>
      <c r="BI213" s="194"/>
      <c r="BJ213" s="197"/>
    </row>
    <row r="214" spans="1:62" ht="30" x14ac:dyDescent="0.25">
      <c r="A214" s="44" t="s">
        <v>405</v>
      </c>
      <c r="B214" s="58" t="s">
        <v>387</v>
      </c>
      <c r="C214" s="45">
        <v>4</v>
      </c>
      <c r="D214" s="55" t="s">
        <v>378</v>
      </c>
      <c r="E214" s="45" t="s">
        <v>26</v>
      </c>
      <c r="F214" s="46" t="e">
        <f>VLOOKUP(B214,#REF!,4,FALSE)</f>
        <v>#REF!</v>
      </c>
      <c r="G214" s="47" t="e">
        <f>VLOOKUP(B214,#REF!,4,FALSE)</f>
        <v>#REF!</v>
      </c>
      <c r="H214" s="240" t="s">
        <v>2000</v>
      </c>
      <c r="I214" s="240" t="s">
        <v>2001</v>
      </c>
      <c r="J214" s="242" t="str">
        <f>IFERROR(IF(N214&lt;&gt;"",M214,IF(I214 = PARÂMETROS!$B$5,Q214, IF(I214 = PARÂMETROS!$B$6,R214,IF(I214 = PARÂMETROS!$B$7,S214,IF(I214 = PARÂMETROS!$B$8, T214,"DEFINIR CRITÉRIO"))))),"SEM PREÇO")</f>
        <v>DEFINIR CRITÉRIO</v>
      </c>
      <c r="K214" s="241" t="str">
        <f t="shared" si="87"/>
        <v/>
      </c>
      <c r="L214" s="238" t="str">
        <f t="shared" si="88"/>
        <v/>
      </c>
      <c r="M214" s="51"/>
      <c r="N214" s="52"/>
      <c r="O214" s="53" t="s">
        <v>26</v>
      </c>
      <c r="P214" s="235">
        <f t="shared" si="89"/>
        <v>1307.1533333333334</v>
      </c>
      <c r="Q214" s="236">
        <f t="shared" si="90"/>
        <v>0</v>
      </c>
      <c r="R214" s="236">
        <f t="shared" si="91"/>
        <v>0</v>
      </c>
      <c r="S214" s="236">
        <f t="shared" si="92"/>
        <v>0</v>
      </c>
      <c r="T214" s="236">
        <f t="shared" si="93"/>
        <v>0</v>
      </c>
      <c r="U214" s="237" t="e">
        <f>IF(AA214 = "", "", IF(OR($H214 = PARÂMETROS!$E$5, $H214 = ""), AA214, IF(OR(AA214 &lt; (1-VLOOKUP($H214,PARÂMETROS!$E:$F,2,FALSE))*$P214, AA214 &gt; (1+VLOOKUP($H214,PARÂMETROS!$E:$F,2,FALSE))*$P214),"",AA214)))</f>
        <v>#N/A</v>
      </c>
      <c r="V214" s="237" t="e">
        <f>IF(AG214 = "", "", IF(OR($H214 = PARÂMETROS!$E$5, $H214 = ""), AG214, IF(OR(AG214 &lt; (1-VLOOKUP($H214,PARÂMETROS!$E:$F,2,FALSE))*$P219, AG214 &gt; (1+VLOOKUP($H214,PARÂMETROS!$E:$F,2,FALSE))*$P214),"",AG214)))</f>
        <v>#N/A</v>
      </c>
      <c r="W214" s="237" t="e">
        <f>IF(AM214 = "", "", IF(OR($H214 = PARÂMETROS!$E$5, $H214 = ""), AM214, IF(OR(AM214 &lt; (1-VLOOKUP($H214,PARÂMETROS!$E:$F,2,FALSE))*$P214, AM214 &gt; (1+VLOOKUP($H214,PARÂMETROS!$E:$F,2,FALSE))*$P214),"",AM214)))</f>
        <v>#N/A</v>
      </c>
      <c r="X214" s="237" t="str">
        <f>IF(AS214 = "", "", IF(OR($H214 = PARÂMETROS!$E$5, $H214 = ""), AS214, IF(OR(AS214 &lt; (1-VLOOKUP($H214,PARÂMETROS!$E:$F,2,FALSE))*$P214, AS214 &gt; (1+VLOOKUP($H214,PARÂMETROS!$E:$F,2,FALSE))*$P214),"",AS214)))</f>
        <v/>
      </c>
      <c r="Y214" s="237" t="str">
        <f>IF(AY214 = "", "", IF(OR($H214 = PARÂMETROS!$E$5, $H214 = ""), AY214, IF(OR(AY214 &lt; (1-VLOOKUP($H214,PARÂMETROS!$E:$F,2,FALSE))*$P214, AY214 &gt; (1+VLOOKUP($H214,PARÂMETROS!$E:$F,2,FALSE))*$P214),"",AY214)))</f>
        <v/>
      </c>
      <c r="Z214" s="237" t="str">
        <f>IF(BE214 = "", "", IF(OR($H214 = PARÂMETROS!$E$5, $H214 = ""), BE214, IF(OR(BE214 &lt; (1-VLOOKUP($H214,PARÂMETROS!$E:$F,2,FALSE))*$P214, BE214 &gt; (1+VLOOKUP($H214,PARÂMETROS!$E:$F,2,FALSE))*$P214),"",BE214)))</f>
        <v/>
      </c>
      <c r="AA214" s="207">
        <v>1499</v>
      </c>
      <c r="AB214" s="208">
        <v>800</v>
      </c>
      <c r="AC214" s="206" t="e">
        <f>IF(AND(OR(AA214="",AA214=0),OR(AA214="",AB214=0)),"",IF(OR(AA214="",AA214=0),"DEFINIR PREÇO",IF(OR(AB214="",AB214=0),"DEFINIR FORNECEDOR",IF(OR(AA214&lt;&gt;"",AA214&lt;&gt;0),VLOOKUP(AB214,#REF!,2,FALSE)))))</f>
        <v>#REF!</v>
      </c>
      <c r="AD214" s="217" t="s">
        <v>1977</v>
      </c>
      <c r="AE214" s="218">
        <v>44924</v>
      </c>
      <c r="AF214" s="220" t="str">
        <f t="shared" ca="1" si="94"/>
        <v>DESATUALIZADA</v>
      </c>
      <c r="AG214" s="229">
        <v>1299</v>
      </c>
      <c r="AH214" s="231">
        <v>612</v>
      </c>
      <c r="AI214" s="206" t="e">
        <f>IF(AND(OR(AG214="",AG214=0),OR(AG214="",AH214=0)),"",IF(OR(AG214="",AG214=0),"DEFINIR PREÇO",IF(OR(AH214="",AH214=0),"DEFINIR FORNECEDOR",IF(OR(AG214&lt;&gt;"",AG214&lt;&gt;0),VLOOKUP(AH214,#REF!,2,FALSE)))))</f>
        <v>#REF!</v>
      </c>
      <c r="AJ214" s="217" t="s">
        <v>1977</v>
      </c>
      <c r="AK214" s="218">
        <v>44924</v>
      </c>
      <c r="AL214" s="220" t="str">
        <f t="shared" ca="1" si="95"/>
        <v>DESATUALIZADA</v>
      </c>
      <c r="AM214" s="229">
        <v>1123.46</v>
      </c>
      <c r="AN214" s="231">
        <v>1183</v>
      </c>
      <c r="AO214" s="206" t="e">
        <f>IF(AND(OR(AM214="",AM214=0),OR(AM214="",AN214=0)),"",IF(OR(AM214="",AM214=0),"DEFINIR PREÇO",IF(OR(AN214="",AN214=0),"DEFINIR FORNECEDOR",IF(OR(AM214&lt;&gt;"",AM214&lt;&gt;0),VLOOKUP(AN214,#REF!,2,FALSE)))))</f>
        <v>#REF!</v>
      </c>
      <c r="AP214" s="217" t="s">
        <v>1977</v>
      </c>
      <c r="AQ214" s="218">
        <v>44924</v>
      </c>
      <c r="AR214" s="220" t="str">
        <f t="shared" ca="1" si="96"/>
        <v>DESATUALIZADA</v>
      </c>
      <c r="AS214" s="229"/>
      <c r="AT214" s="231"/>
      <c r="AU214" s="194"/>
      <c r="AV214" s="217"/>
      <c r="AW214" s="218"/>
      <c r="AX214" s="220" t="str">
        <f t="shared" ca="1" si="97"/>
        <v/>
      </c>
      <c r="AY214" s="195"/>
      <c r="AZ214" s="196"/>
      <c r="BA214" s="209" t="str">
        <f>IF(AND(OR(AY214="",AY214=0),OR(AY214="",AZ214=0)),"",IF(OR(AY214="",AY214=0),"DEFINIR PREÇO",IF(OR(AZ214="",AZ214=0),"DEFINIR FORNECEDOR",IF(OR(AY214&lt;&gt;"",AY214&lt;&gt;0),VLOOKUP(AZ214,#REF!,2,FALSE)))))</f>
        <v/>
      </c>
      <c r="BB214" s="194"/>
      <c r="BC214" s="194"/>
      <c r="BD214" s="220" t="str">
        <f t="shared" ca="1" si="98"/>
        <v/>
      </c>
      <c r="BE214" s="195"/>
      <c r="BF214" s="196"/>
      <c r="BG214" s="194"/>
      <c r="BH214" s="194"/>
      <c r="BI214" s="194"/>
      <c r="BJ214" s="197"/>
    </row>
    <row r="215" spans="1:62" ht="30" x14ac:dyDescent="0.25">
      <c r="A215" s="44" t="s">
        <v>405</v>
      </c>
      <c r="B215" s="45" t="s">
        <v>388</v>
      </c>
      <c r="C215" s="45">
        <v>4</v>
      </c>
      <c r="D215" s="55" t="s">
        <v>379</v>
      </c>
      <c r="E215" s="45" t="s">
        <v>26</v>
      </c>
      <c r="F215" s="46" t="e">
        <f>VLOOKUP(B215,#REF!,4,FALSE)</f>
        <v>#REF!</v>
      </c>
      <c r="G215" s="47" t="e">
        <f>VLOOKUP(B215,#REF!,4,FALSE)</f>
        <v>#REF!</v>
      </c>
      <c r="H215" s="240" t="s">
        <v>2000</v>
      </c>
      <c r="I215" s="240" t="s">
        <v>2001</v>
      </c>
      <c r="J215" s="242" t="str">
        <f>IFERROR(IF(N215&lt;&gt;"",M215,IF(I215 = PARÂMETROS!$B$5,Q215, IF(I215 = PARÂMETROS!$B$6,R215,IF(I215 = PARÂMETROS!$B$7,S215,IF(I215 = PARÂMETROS!$B$8, T215,"DEFINIR CRITÉRIO"))))),"SEM PREÇO")</f>
        <v>DEFINIR CRITÉRIO</v>
      </c>
      <c r="K215" s="241" t="str">
        <f t="shared" si="87"/>
        <v/>
      </c>
      <c r="L215" s="238" t="str">
        <f t="shared" si="88"/>
        <v/>
      </c>
      <c r="M215" s="51"/>
      <c r="N215" s="52"/>
      <c r="O215" s="53" t="s">
        <v>26</v>
      </c>
      <c r="P215" s="235">
        <f t="shared" si="89"/>
        <v>301.46666666666664</v>
      </c>
      <c r="Q215" s="236">
        <f t="shared" si="90"/>
        <v>0</v>
      </c>
      <c r="R215" s="236">
        <f t="shared" si="91"/>
        <v>0</v>
      </c>
      <c r="S215" s="236">
        <f t="shared" si="92"/>
        <v>0</v>
      </c>
      <c r="T215" s="236">
        <f t="shared" si="93"/>
        <v>0</v>
      </c>
      <c r="U215" s="237" t="e">
        <f>IF(AA215 = "", "", IF(OR($H215 = PARÂMETROS!$E$5, $H215 = ""), AA215, IF(OR(AA215 &lt; (1-VLOOKUP($H215,PARÂMETROS!$E:$F,2,FALSE))*$P215, AA215 &gt; (1+VLOOKUP($H215,PARÂMETROS!$E:$F,2,FALSE))*$P215),"",AA215)))</f>
        <v>#N/A</v>
      </c>
      <c r="V215" s="237" t="e">
        <f>IF(AG215 = "", "", IF(OR($H215 = PARÂMETROS!$E$5, $H215 = ""), AG215, IF(OR(AG215 &lt; (1-VLOOKUP($H215,PARÂMETROS!$E:$F,2,FALSE))*$P220, AG215 &gt; (1+VLOOKUP($H215,PARÂMETROS!$E:$F,2,FALSE))*$P215),"",AG215)))</f>
        <v>#N/A</v>
      </c>
      <c r="W215" s="237" t="e">
        <f>IF(AM215 = "", "", IF(OR($H215 = PARÂMETROS!$E$5, $H215 = ""), AM215, IF(OR(AM215 &lt; (1-VLOOKUP($H215,PARÂMETROS!$E:$F,2,FALSE))*$P215, AM215 &gt; (1+VLOOKUP($H215,PARÂMETROS!$E:$F,2,FALSE))*$P215),"",AM215)))</f>
        <v>#N/A</v>
      </c>
      <c r="X215" s="237" t="str">
        <f>IF(AS215 = "", "", IF(OR($H215 = PARÂMETROS!$E$5, $H215 = ""), AS215, IF(OR(AS215 &lt; (1-VLOOKUP($H215,PARÂMETROS!$E:$F,2,FALSE))*$P215, AS215 &gt; (1+VLOOKUP($H215,PARÂMETROS!$E:$F,2,FALSE))*$P215),"",AS215)))</f>
        <v/>
      </c>
      <c r="Y215" s="237" t="str">
        <f>IF(AY215 = "", "", IF(OR($H215 = PARÂMETROS!$E$5, $H215 = ""), AY215, IF(OR(AY215 &lt; (1-VLOOKUP($H215,PARÂMETROS!$E:$F,2,FALSE))*$P215, AY215 &gt; (1+VLOOKUP($H215,PARÂMETROS!$E:$F,2,FALSE))*$P215),"",AY215)))</f>
        <v/>
      </c>
      <c r="Z215" s="237" t="str">
        <f>IF(BE215 = "", "", IF(OR($H215 = PARÂMETROS!$E$5, $H215 = ""), BE215, IF(OR(BE215 &lt; (1-VLOOKUP($H215,PARÂMETROS!$E:$F,2,FALSE))*$P215, BE215 &gt; (1+VLOOKUP($H215,PARÂMETROS!$E:$F,2,FALSE))*$P215),"",BE215)))</f>
        <v/>
      </c>
      <c r="AA215" s="207">
        <v>499</v>
      </c>
      <c r="AB215" s="208">
        <v>2176</v>
      </c>
      <c r="AC215" s="206" t="e">
        <f>IF(AND(OR(AA215="",AA215=0),OR(AA215="",AB215=0)),"",IF(OR(AA215="",AA215=0),"DEFINIR PREÇO",IF(OR(AB215="",AB215=0),"DEFINIR FORNECEDOR",IF(OR(AA215&lt;&gt;"",AA215&lt;&gt;0),VLOOKUP(AB215,#REF!,2,FALSE)))))</f>
        <v>#REF!</v>
      </c>
      <c r="AD215" s="217" t="s">
        <v>1977</v>
      </c>
      <c r="AE215" s="218">
        <v>44924</v>
      </c>
      <c r="AF215" s="220" t="str">
        <f t="shared" ca="1" si="94"/>
        <v>DESATUALIZADA</v>
      </c>
      <c r="AG215" s="229">
        <v>187</v>
      </c>
      <c r="AH215" s="231">
        <v>2177</v>
      </c>
      <c r="AI215" s="206" t="e">
        <f>IF(AND(OR(AG215="",AG215=0),OR(AG215="",AH215=0)),"",IF(OR(AG215="",AG215=0),"DEFINIR PREÇO",IF(OR(AH215="",AH215=0),"DEFINIR FORNECEDOR",IF(OR(AG215&lt;&gt;"",AG215&lt;&gt;0),VLOOKUP(AH215,#REF!,2,FALSE)))))</f>
        <v>#REF!</v>
      </c>
      <c r="AJ215" s="217" t="s">
        <v>1977</v>
      </c>
      <c r="AK215" s="218">
        <v>44924</v>
      </c>
      <c r="AL215" s="220" t="str">
        <f t="shared" ca="1" si="95"/>
        <v>DESATUALIZADA</v>
      </c>
      <c r="AM215" s="229">
        <v>218.4</v>
      </c>
      <c r="AN215" s="231">
        <v>1183</v>
      </c>
      <c r="AO215" s="206" t="e">
        <f>IF(AND(OR(AM215="",AM215=0),OR(AM215="",AN215=0)),"",IF(OR(AM215="",AM215=0),"DEFINIR PREÇO",IF(OR(AN215="",AN215=0),"DEFINIR FORNECEDOR",IF(OR(AM215&lt;&gt;"",AM215&lt;&gt;0),VLOOKUP(AN215,#REF!,2,FALSE)))))</f>
        <v>#REF!</v>
      </c>
      <c r="AP215" s="217" t="s">
        <v>1977</v>
      </c>
      <c r="AQ215" s="218">
        <v>44924</v>
      </c>
      <c r="AR215" s="220" t="str">
        <f t="shared" ca="1" si="96"/>
        <v>DESATUALIZADA</v>
      </c>
      <c r="AS215" s="229"/>
      <c r="AT215" s="231"/>
      <c r="AU215" s="194"/>
      <c r="AV215" s="217"/>
      <c r="AW215" s="218"/>
      <c r="AX215" s="220" t="str">
        <f t="shared" ca="1" si="97"/>
        <v/>
      </c>
      <c r="AY215" s="195"/>
      <c r="AZ215" s="196"/>
      <c r="BA215" s="209" t="str">
        <f>IF(AND(OR(AY215="",AY215=0),OR(AY215="",AZ215=0)),"",IF(OR(AY215="",AY215=0),"DEFINIR PREÇO",IF(OR(AZ215="",AZ215=0),"DEFINIR FORNECEDOR",IF(OR(AY215&lt;&gt;"",AY215&lt;&gt;0),VLOOKUP(AZ215,#REF!,2,FALSE)))))</f>
        <v/>
      </c>
      <c r="BB215" s="192"/>
      <c r="BC215" s="192"/>
      <c r="BD215" s="220" t="str">
        <f t="shared" ca="1" si="98"/>
        <v/>
      </c>
      <c r="BE215" s="195"/>
      <c r="BF215" s="196"/>
      <c r="BG215" s="194"/>
      <c r="BH215" s="192"/>
      <c r="BI215" s="192"/>
      <c r="BJ215" s="193"/>
    </row>
    <row r="216" spans="1:62" ht="90" x14ac:dyDescent="0.25">
      <c r="A216" s="44" t="s">
        <v>405</v>
      </c>
      <c r="B216" s="58" t="s">
        <v>382</v>
      </c>
      <c r="C216" s="45">
        <v>1</v>
      </c>
      <c r="D216" s="244" t="s">
        <v>367</v>
      </c>
      <c r="E216" s="45" t="s">
        <v>26</v>
      </c>
      <c r="F216" s="46" t="e">
        <f>VLOOKUP(B216,#REF!,7,FALSE)</f>
        <v>#REF!</v>
      </c>
      <c r="G216" s="47" t="e">
        <f>VLOOKUP(B216,#REF!,9,FALSE)</f>
        <v>#REF!</v>
      </c>
      <c r="H216" s="240" t="s">
        <v>2000</v>
      </c>
      <c r="I216" s="240" t="s">
        <v>2001</v>
      </c>
      <c r="J216" s="242" t="str">
        <f>IFERROR(IF(N216&lt;&gt;"",M216,IF(I216 = PARÂMETROS!$B$5,Q216, IF(I216 = PARÂMETROS!$B$6,R216,IF(I216 = PARÂMETROS!$B$7,S216,IF(I216 = PARÂMETROS!$B$8, T216,"DEFINIR CRITÉRIO"))))),"SEM PREÇO")</f>
        <v>INSUMO DESCONTINUADO - USANDO SINAPI DIRETO NAS COMPOSIÇÕES</v>
      </c>
      <c r="K216" s="241">
        <f t="shared" si="87"/>
        <v>0</v>
      </c>
      <c r="L216" s="238" t="str">
        <f t="shared" si="88"/>
        <v/>
      </c>
      <c r="M216" s="249" t="s">
        <v>2076</v>
      </c>
      <c r="N216" s="52">
        <v>93408</v>
      </c>
      <c r="O216" s="53" t="s">
        <v>1264</v>
      </c>
      <c r="P216" s="235">
        <f t="shared" si="89"/>
        <v>0</v>
      </c>
      <c r="Q216" s="236">
        <f t="shared" si="90"/>
        <v>0</v>
      </c>
      <c r="R216" s="236">
        <f t="shared" si="91"/>
        <v>0</v>
      </c>
      <c r="S216" s="236">
        <f t="shared" si="92"/>
        <v>0</v>
      </c>
      <c r="T216" s="236">
        <f t="shared" si="93"/>
        <v>0</v>
      </c>
      <c r="U216" s="237" t="str">
        <f>IF(AA216 = "", "", IF(OR($H216 = PARÂMETROS!$E$5, $H216 = ""), AA216, IF(OR(AA216 &lt; (1-VLOOKUP($H216,PARÂMETROS!$E:$F,2,FALSE))*$P216, AA216 &gt; (1+VLOOKUP($H216,PARÂMETROS!$E:$F,2,FALSE))*$P216),"",AA216)))</f>
        <v/>
      </c>
      <c r="V216" s="237" t="str">
        <f>IF(AG216 = "", "", IF(OR($H216 = PARÂMETROS!$E$5, $H216 = ""), AG216, IF(OR(AG216 &lt; (1-VLOOKUP($H216,PARÂMETROS!$E:$F,2,FALSE))*$P221, AG216 &gt; (1+VLOOKUP($H216,PARÂMETROS!$E:$F,2,FALSE))*$P216),"",AG216)))</f>
        <v/>
      </c>
      <c r="W216" s="237" t="str">
        <f>IF(AM216 = "", "", IF(OR($H216 = PARÂMETROS!$E$5, $H216 = ""), AM216, IF(OR(AM216 &lt; (1-VLOOKUP($H216,PARÂMETROS!$E:$F,2,FALSE))*$P216, AM216 &gt; (1+VLOOKUP($H216,PARÂMETROS!$E:$F,2,FALSE))*$P216),"",AM216)))</f>
        <v/>
      </c>
      <c r="X216" s="237" t="str">
        <f>IF(AS216 = "", "", IF(OR($H216 = PARÂMETROS!$E$5, $H216 = ""), AS216, IF(OR(AS216 &lt; (1-VLOOKUP($H216,PARÂMETROS!$E:$F,2,FALSE))*$P216, AS216 &gt; (1+VLOOKUP($H216,PARÂMETROS!$E:$F,2,FALSE))*$P216),"",AS216)))</f>
        <v/>
      </c>
      <c r="Y216" s="237" t="str">
        <f>IF(AY216 = "", "", IF(OR($H216 = PARÂMETROS!$E$5, $H216 = ""), AY216, IF(OR(AY216 &lt; (1-VLOOKUP($H216,PARÂMETROS!$E:$F,2,FALSE))*$P216, AY216 &gt; (1+VLOOKUP($H216,PARÂMETROS!$E:$F,2,FALSE))*$P216),"",AY216)))</f>
        <v/>
      </c>
      <c r="Z216" s="237" t="str">
        <f>IF(BE216 = "", "", IF(OR($H216 = PARÂMETROS!$E$5, $H216 = ""), BE216, IF(OR(BE216 &lt; (1-VLOOKUP($H216,PARÂMETROS!$E:$F,2,FALSE))*$P216, BE216 &gt; (1+VLOOKUP($H216,PARÂMETROS!$E:$F,2,FALSE))*$P216),"",BE216)))</f>
        <v/>
      </c>
      <c r="AA216" s="207"/>
      <c r="AB216" s="208"/>
      <c r="AC216" s="206" t="str">
        <f>IF(AND(OR(AA216="",AA216=0),OR(AA216="",AB216=0)),"",IF(OR(AA216="",AA216=0),"DEFINIR PREÇO",IF(OR(AB216="",AB216=0),"DEFINIR FORNECEDOR",IF(OR(AA216&lt;&gt;"",AA216&lt;&gt;0),VLOOKUP(AB216,#REF!,2,FALSE)))))</f>
        <v/>
      </c>
      <c r="AD216" s="217"/>
      <c r="AE216" s="218"/>
      <c r="AF216" s="220" t="str">
        <f t="shared" ca="1" si="94"/>
        <v/>
      </c>
      <c r="AG216" s="229"/>
      <c r="AH216" s="231"/>
      <c r="AI216" s="206" t="str">
        <f>IF(AND(OR(AG216="",AG216=0),OR(AG216="",AH216=0)),"",IF(OR(AG216="",AG216=0),"DEFINIR PREÇO",IF(OR(AH216="",AH216=0),"DEFINIR FORNECEDOR",IF(OR(AG216&lt;&gt;"",AG216&lt;&gt;0),VLOOKUP(AH216,#REF!,2,FALSE)))))</f>
        <v/>
      </c>
      <c r="AJ216" s="217"/>
      <c r="AK216" s="218"/>
      <c r="AL216" s="220" t="str">
        <f t="shared" ca="1" si="95"/>
        <v/>
      </c>
      <c r="AM216" s="229"/>
      <c r="AN216" s="231"/>
      <c r="AO216" s="206" t="str">
        <f>IF(AND(OR(AM216="",AM216=0),OR(AM216="",AN216=0)),"",IF(OR(AM216="",AM216=0),"DEFINIR PREÇO",IF(OR(AN216="",AN216=0),"DEFINIR FORNECEDOR",IF(OR(AM216&lt;&gt;"",AM216&lt;&gt;0),VLOOKUP(AN216,#REF!,2,FALSE)))))</f>
        <v/>
      </c>
      <c r="AP216" s="217"/>
      <c r="AQ216" s="218"/>
      <c r="AR216" s="220" t="str">
        <f t="shared" ca="1" si="96"/>
        <v/>
      </c>
      <c r="AS216" s="229"/>
      <c r="AT216" s="231"/>
      <c r="AU216" s="194"/>
      <c r="AV216" s="217"/>
      <c r="AW216" s="218"/>
      <c r="AX216" s="220" t="str">
        <f t="shared" ca="1" si="97"/>
        <v/>
      </c>
      <c r="AY216" s="195"/>
      <c r="AZ216" s="196"/>
      <c r="BA216" s="209" t="str">
        <f>IF(AND(OR(AY216="",AY216=0),OR(AY216="",AZ216=0)),"",IF(OR(AY216="",AY216=0),"DEFINIR PREÇO",IF(OR(AZ216="",AZ216=0),"DEFINIR FORNECEDOR",IF(OR(AY216&lt;&gt;"",AY216&lt;&gt;0),VLOOKUP(AZ216,#REF!,2,FALSE)))))</f>
        <v/>
      </c>
      <c r="BB216" s="194"/>
      <c r="BC216" s="194"/>
      <c r="BD216" s="220" t="str">
        <f t="shared" ca="1" si="98"/>
        <v/>
      </c>
      <c r="BE216" s="195"/>
      <c r="BF216" s="196"/>
      <c r="BG216" s="194"/>
      <c r="BH216" s="194"/>
      <c r="BI216" s="194"/>
      <c r="BJ216" s="197"/>
    </row>
    <row r="217" spans="1:62" x14ac:dyDescent="0.25">
      <c r="A217" s="44" t="s">
        <v>405</v>
      </c>
      <c r="B217" s="58" t="s">
        <v>49</v>
      </c>
      <c r="C217" s="45">
        <v>1</v>
      </c>
      <c r="D217" s="55" t="s">
        <v>2075</v>
      </c>
      <c r="E217" s="45" t="s">
        <v>21</v>
      </c>
      <c r="F217" s="46" t="e">
        <f>VLOOKUP(B217,#REF!,7,FALSE)</f>
        <v>#REF!</v>
      </c>
      <c r="G217" s="47" t="e">
        <f>VLOOKUP(B217,#REF!,9,FALSE)</f>
        <v>#REF!</v>
      </c>
      <c r="H217" s="240" t="s">
        <v>2000</v>
      </c>
      <c r="I217" s="240" t="s">
        <v>2001</v>
      </c>
      <c r="J217" s="242" t="str">
        <f>IFERROR(IF(N217&lt;&gt;"",M217,IF(I217 = PARÂMETROS!$B$5,Q217, IF(I217 = PARÂMETROS!$B$6,R217,IF(I217 = PARÂMETROS!$B$7,S217,IF(I217 = PARÂMETROS!$B$8, T217,"DEFINIR CRITÉRIO"))))),"SEM PREÇO")</f>
        <v>SEM PREÇO</v>
      </c>
      <c r="K217" s="241">
        <f t="shared" si="87"/>
        <v>0</v>
      </c>
      <c r="L217" s="238" t="str">
        <f t="shared" si="88"/>
        <v/>
      </c>
      <c r="M217" s="180" t="e">
        <f>F217</f>
        <v>#REF!</v>
      </c>
      <c r="N217" s="52">
        <v>92145</v>
      </c>
      <c r="O217" s="53" t="s">
        <v>1264</v>
      </c>
      <c r="P217" s="235">
        <f t="shared" si="89"/>
        <v>0</v>
      </c>
      <c r="Q217" s="236">
        <f t="shared" si="90"/>
        <v>0</v>
      </c>
      <c r="R217" s="236">
        <f t="shared" si="91"/>
        <v>0</v>
      </c>
      <c r="S217" s="236">
        <f t="shared" si="92"/>
        <v>0</v>
      </c>
      <c r="T217" s="236">
        <f t="shared" si="93"/>
        <v>0</v>
      </c>
      <c r="U217" s="237" t="str">
        <f>IF(AA217 = "", "", IF(OR($H217 = PARÂMETROS!$E$5, $H217 = ""), AA217, IF(OR(AA217 &lt; (1-VLOOKUP($H217,PARÂMETROS!$E:$F,2,FALSE))*$P217, AA217 &gt; (1+VLOOKUP($H217,PARÂMETROS!$E:$F,2,FALSE))*$P217),"",AA217)))</f>
        <v/>
      </c>
      <c r="V217" s="237" t="str">
        <f>IF(AG217 = "", "", IF(OR($H217 = PARÂMETROS!$E$5, $H217 = ""), AG217, IF(OR(AG217 &lt; (1-VLOOKUP($H217,PARÂMETROS!$E:$F,2,FALSE))*$P222, AG217 &gt; (1+VLOOKUP($H217,PARÂMETROS!$E:$F,2,FALSE))*$P217),"",AG217)))</f>
        <v/>
      </c>
      <c r="W217" s="237" t="str">
        <f>IF(AM217 = "", "", IF(OR($H217 = PARÂMETROS!$E$5, $H217 = ""), AM217, IF(OR(AM217 &lt; (1-VLOOKUP($H217,PARÂMETROS!$E:$F,2,FALSE))*$P217, AM217 &gt; (1+VLOOKUP($H217,PARÂMETROS!$E:$F,2,FALSE))*$P217),"",AM217)))</f>
        <v/>
      </c>
      <c r="X217" s="237" t="str">
        <f>IF(AS217 = "", "", IF(OR($H217 = PARÂMETROS!$E$5, $H217 = ""), AS217, IF(OR(AS217 &lt; (1-VLOOKUP($H217,PARÂMETROS!$E:$F,2,FALSE))*$P217, AS217 &gt; (1+VLOOKUP($H217,PARÂMETROS!$E:$F,2,FALSE))*$P217),"",AS217)))</f>
        <v/>
      </c>
      <c r="Y217" s="237" t="str">
        <f>IF(AY217 = "", "", IF(OR($H217 = PARÂMETROS!$E$5, $H217 = ""), AY217, IF(OR(AY217 &lt; (1-VLOOKUP($H217,PARÂMETROS!$E:$F,2,FALSE))*$P217, AY217 &gt; (1+VLOOKUP($H217,PARÂMETROS!$E:$F,2,FALSE))*$P217),"",AY217)))</f>
        <v/>
      </c>
      <c r="Z217" s="237" t="str">
        <f>IF(BE217 = "", "", IF(OR($H217 = PARÂMETROS!$E$5, $H217 = ""), BE217, IF(OR(BE217 &lt; (1-VLOOKUP($H217,PARÂMETROS!$E:$F,2,FALSE))*$P217, BE217 &gt; (1+VLOOKUP($H217,PARÂMETROS!$E:$F,2,FALSE))*$P217),"",BE217)))</f>
        <v/>
      </c>
      <c r="AA217" s="207"/>
      <c r="AB217" s="208"/>
      <c r="AC217" s="206" t="str">
        <f>IF(AND(OR(AA217="",AA217=0),OR(AA217="",AB217=0)),"",IF(OR(AA217="",AA217=0),"DEFINIR PREÇO",IF(OR(AB217="",AB217=0),"DEFINIR FORNECEDOR",IF(OR(AA217&lt;&gt;"",AA217&lt;&gt;0),VLOOKUP(AB217,#REF!,2,FALSE)))))</f>
        <v/>
      </c>
      <c r="AD217" s="217"/>
      <c r="AE217" s="218"/>
      <c r="AF217" s="220" t="str">
        <f t="shared" ca="1" si="94"/>
        <v/>
      </c>
      <c r="AG217" s="229"/>
      <c r="AH217" s="231"/>
      <c r="AI217" s="206" t="str">
        <f>IF(AND(OR(AG217="",AG217=0),OR(AG217="",AH217=0)),"",IF(OR(AG217="",AG217=0),"DEFINIR PREÇO",IF(OR(AH217="",AH217=0),"DEFINIR FORNECEDOR",IF(OR(AG217&lt;&gt;"",AG217&lt;&gt;0),VLOOKUP(AH217,#REF!,2,FALSE)))))</f>
        <v/>
      </c>
      <c r="AJ217" s="217"/>
      <c r="AK217" s="218"/>
      <c r="AL217" s="220" t="str">
        <f t="shared" ca="1" si="95"/>
        <v/>
      </c>
      <c r="AM217" s="229"/>
      <c r="AN217" s="231"/>
      <c r="AO217" s="206" t="str">
        <f>IF(AND(OR(AM217="",AM217=0),OR(AM217="",AN217=0)),"",IF(OR(AM217="",AM217=0),"DEFINIR PREÇO",IF(OR(AN217="",AN217=0),"DEFINIR FORNECEDOR",IF(OR(AM217&lt;&gt;"",AM217&lt;&gt;0),VLOOKUP(AN217,#REF!,2,FALSE)))))</f>
        <v/>
      </c>
      <c r="AP217" s="217"/>
      <c r="AQ217" s="218"/>
      <c r="AR217" s="220" t="str">
        <f t="shared" ca="1" si="96"/>
        <v/>
      </c>
      <c r="AS217" s="229"/>
      <c r="AT217" s="231"/>
      <c r="AU217" s="194"/>
      <c r="AV217" s="217"/>
      <c r="AW217" s="218"/>
      <c r="AX217" s="220" t="str">
        <f t="shared" ca="1" si="97"/>
        <v/>
      </c>
      <c r="AY217" s="195"/>
      <c r="AZ217" s="196"/>
      <c r="BA217" s="209" t="str">
        <f>IF(AND(OR(AY217="",AY217=0),OR(AY217="",AZ217=0)),"",IF(OR(AY217="",AY217=0),"DEFINIR PREÇO",IF(OR(AZ217="",AZ217=0),"DEFINIR FORNECEDOR",IF(OR(AY217&lt;&gt;"",AY217&lt;&gt;0),VLOOKUP(AZ217,#REF!,2,FALSE)))))</f>
        <v/>
      </c>
      <c r="BB217" s="194"/>
      <c r="BC217" s="194"/>
      <c r="BD217" s="220" t="str">
        <f t="shared" ca="1" si="98"/>
        <v/>
      </c>
      <c r="BE217" s="195"/>
      <c r="BF217" s="196"/>
      <c r="BG217" s="194"/>
      <c r="BH217" s="194"/>
      <c r="BI217" s="194"/>
      <c r="BJ217" s="197"/>
    </row>
    <row r="218" spans="1:62" ht="38.25" x14ac:dyDescent="0.25">
      <c r="A218" s="160" t="s">
        <v>405</v>
      </c>
      <c r="B218" s="161" t="s">
        <v>126</v>
      </c>
      <c r="C218" s="45">
        <v>1</v>
      </c>
      <c r="D218" s="162" t="s">
        <v>1361</v>
      </c>
      <c r="E218" s="157" t="s">
        <v>89</v>
      </c>
      <c r="F218" s="158" t="e">
        <f>VLOOKUP(B218,#REF!,6,FALSE)</f>
        <v>#REF!</v>
      </c>
      <c r="G218" s="159" t="e">
        <f>VLOOKUP(B218,#REF!,6,FALSE)</f>
        <v>#REF!</v>
      </c>
      <c r="H218" s="240" t="s">
        <v>2000</v>
      </c>
      <c r="I218" s="240" t="s">
        <v>2001</v>
      </c>
      <c r="J218" s="242" t="str">
        <f>IFERROR(IF(N218&lt;&gt;"",M218,IF(I218 = PARÂMETROS!$B$5,Q218, IF(I218 = PARÂMETROS!$B$6,R218,IF(I218 = PARÂMETROS!$B$7,S218,IF(I218 = PARÂMETROS!$B$8, T218,"DEFINIR CRITÉRIO"))))),"SEM PREÇO")</f>
        <v>SEM PREÇO</v>
      </c>
      <c r="K218" s="241">
        <f t="shared" si="87"/>
        <v>0</v>
      </c>
      <c r="L218" s="238" t="str">
        <f t="shared" si="88"/>
        <v/>
      </c>
      <c r="M218" s="180" t="e">
        <f>VLOOKUP(N218,#REF!,4,FALSE)</f>
        <v>#REF!</v>
      </c>
      <c r="N218" s="52">
        <v>39585</v>
      </c>
      <c r="O218" s="53" t="s">
        <v>26</v>
      </c>
      <c r="P218" s="235">
        <f t="shared" si="89"/>
        <v>0</v>
      </c>
      <c r="Q218" s="236">
        <f t="shared" si="90"/>
        <v>0</v>
      </c>
      <c r="R218" s="236">
        <f t="shared" si="91"/>
        <v>0</v>
      </c>
      <c r="S218" s="236">
        <f t="shared" si="92"/>
        <v>0</v>
      </c>
      <c r="T218" s="236">
        <f t="shared" si="93"/>
        <v>0</v>
      </c>
      <c r="U218" s="237" t="str">
        <f>IF(AA218 = "", "", IF(OR($H218 = PARÂMETROS!$E$5, $H218 = ""), AA218, IF(OR(AA218 &lt; (1-VLOOKUP($H218,PARÂMETROS!$E:$F,2,FALSE))*$P218, AA218 &gt; (1+VLOOKUP($H218,PARÂMETROS!$E:$F,2,FALSE))*$P218),"",AA218)))</f>
        <v/>
      </c>
      <c r="V218" s="237" t="str">
        <f>IF(AG218 = "", "", IF(OR($H218 = PARÂMETROS!$E$5, $H218 = ""), AG218, IF(OR(AG218 &lt; (1-VLOOKUP($H218,PARÂMETROS!$E:$F,2,FALSE))*$P223, AG218 &gt; (1+VLOOKUP($H218,PARÂMETROS!$E:$F,2,FALSE))*$P218),"",AG218)))</f>
        <v/>
      </c>
      <c r="W218" s="237" t="str">
        <f>IF(AM218 = "", "", IF(OR($H218 = PARÂMETROS!$E$5, $H218 = ""), AM218, IF(OR(AM218 &lt; (1-VLOOKUP($H218,PARÂMETROS!$E:$F,2,FALSE))*$P218, AM218 &gt; (1+VLOOKUP($H218,PARÂMETROS!$E:$F,2,FALSE))*$P218),"",AM218)))</f>
        <v/>
      </c>
      <c r="X218" s="237" t="str">
        <f>IF(AS218 = "", "", IF(OR($H218 = PARÂMETROS!$E$5, $H218 = ""), AS218, IF(OR(AS218 &lt; (1-VLOOKUP($H218,PARÂMETROS!$E:$F,2,FALSE))*$P218, AS218 &gt; (1+VLOOKUP($H218,PARÂMETROS!$E:$F,2,FALSE))*$P218),"",AS218)))</f>
        <v/>
      </c>
      <c r="Y218" s="237" t="str">
        <f>IF(AY218 = "", "", IF(OR($H218 = PARÂMETROS!$E$5, $H218 = ""), AY218, IF(OR(AY218 &lt; (1-VLOOKUP($H218,PARÂMETROS!$E:$F,2,FALSE))*$P218, AY218 &gt; (1+VLOOKUP($H218,PARÂMETROS!$E:$F,2,FALSE))*$P218),"",AY218)))</f>
        <v/>
      </c>
      <c r="Z218" s="237" t="str">
        <f>IF(BE218 = "", "", IF(OR($H218 = PARÂMETROS!$E$5, $H218 = ""), BE218, IF(OR(BE218 &lt; (1-VLOOKUP($H218,PARÂMETROS!$E:$F,2,FALSE))*$P218, BE218 &gt; (1+VLOOKUP($H218,PARÂMETROS!$E:$F,2,FALSE))*$P218),"",BE218)))</f>
        <v/>
      </c>
      <c r="AA218" s="207"/>
      <c r="AB218" s="208"/>
      <c r="AC218" s="206"/>
      <c r="AD218" s="217"/>
      <c r="AE218" s="218"/>
      <c r="AF218" s="220" t="str">
        <f t="shared" ca="1" si="94"/>
        <v/>
      </c>
      <c r="AG218" s="229"/>
      <c r="AH218" s="231"/>
      <c r="AI218" s="206"/>
      <c r="AJ218" s="217"/>
      <c r="AK218" s="218"/>
      <c r="AL218" s="220" t="str">
        <f t="shared" ca="1" si="95"/>
        <v/>
      </c>
      <c r="AM218" s="229"/>
      <c r="AN218" s="231"/>
      <c r="AO218" s="206" t="str">
        <f>IF(AND(OR(AM218="",AM218=0),OR(AM218="",AN218=0)),"",IF(OR(AM218="",AM218=0),"DEFINIR PREÇO",IF(OR(AN218="",AN218=0),"DEFINIR FORNECEDOR",IF(OR(AM218&lt;&gt;"",AM218&lt;&gt;0),VLOOKUP(AN218,#REF!,2,FALSE)))))</f>
        <v/>
      </c>
      <c r="AP218" s="217"/>
      <c r="AQ218" s="218"/>
      <c r="AR218" s="220" t="str">
        <f t="shared" ca="1" si="96"/>
        <v/>
      </c>
      <c r="AS218" s="229"/>
      <c r="AT218" s="231"/>
      <c r="AU218" s="194"/>
      <c r="AV218" s="217"/>
      <c r="AW218" s="218"/>
      <c r="AX218" s="220" t="str">
        <f t="shared" ca="1" si="97"/>
        <v/>
      </c>
      <c r="AY218" s="195"/>
      <c r="AZ218" s="196"/>
      <c r="BA218" s="209" t="str">
        <f>IF(AND(OR(AY218="",AY218=0),OR(AY218="",AZ218=0)),"",IF(OR(AY218="",AY218=0),"DEFINIR PREÇO",IF(OR(AZ218="",AZ218=0),"DEFINIR FORNECEDOR",IF(OR(AY218&lt;&gt;"",AY218&lt;&gt;0),VLOOKUP(AZ218,#REF!,2,FALSE)))))</f>
        <v/>
      </c>
      <c r="BB218" s="194"/>
      <c r="BC218" s="194"/>
      <c r="BD218" s="220" t="str">
        <f t="shared" ca="1" si="98"/>
        <v/>
      </c>
      <c r="BE218" s="195"/>
      <c r="BF218" s="196"/>
      <c r="BG218" s="194"/>
      <c r="BH218" s="194"/>
      <c r="BI218" s="194"/>
      <c r="BJ218" s="197"/>
    </row>
    <row r="219" spans="1:62" ht="38.25" x14ac:dyDescent="0.25">
      <c r="A219" s="160" t="s">
        <v>405</v>
      </c>
      <c r="B219" s="161" t="s">
        <v>1359</v>
      </c>
      <c r="C219" s="45">
        <v>1</v>
      </c>
      <c r="D219" s="162" t="s">
        <v>1360</v>
      </c>
      <c r="E219" s="157" t="s">
        <v>89</v>
      </c>
      <c r="F219" s="158" t="e">
        <f>VLOOKUP(B219,#REF!,6,FALSE)</f>
        <v>#REF!</v>
      </c>
      <c r="G219" s="159" t="e">
        <f>VLOOKUP(B219,#REF!,6,FALSE)</f>
        <v>#REF!</v>
      </c>
      <c r="H219" s="240" t="s">
        <v>2000</v>
      </c>
      <c r="I219" s="240" t="s">
        <v>2001</v>
      </c>
      <c r="J219" s="242" t="str">
        <f>IFERROR(IF(N219&lt;&gt;"",M219,IF(I219 = PARÂMETROS!$B$5,Q219, IF(I219 = PARÂMETROS!$B$6,R219,IF(I219 = PARÂMETROS!$B$7,S219,IF(I219 = PARÂMETROS!$B$8, T219,"DEFINIR CRITÉRIO"))))),"SEM PREÇO")</f>
        <v>SEM PREÇO</v>
      </c>
      <c r="K219" s="241">
        <f t="shared" si="87"/>
        <v>0</v>
      </c>
      <c r="L219" s="238" t="str">
        <f t="shared" si="88"/>
        <v/>
      </c>
      <c r="M219" s="180" t="e">
        <f>VLOOKUP(N219,#REF!,4,FALSE)</f>
        <v>#REF!</v>
      </c>
      <c r="N219" s="52">
        <v>39584</v>
      </c>
      <c r="O219" s="53" t="s">
        <v>26</v>
      </c>
      <c r="P219" s="235">
        <f t="shared" si="89"/>
        <v>0</v>
      </c>
      <c r="Q219" s="236">
        <f t="shared" si="90"/>
        <v>0</v>
      </c>
      <c r="R219" s="236">
        <f t="shared" si="91"/>
        <v>0</v>
      </c>
      <c r="S219" s="236">
        <f t="shared" si="92"/>
        <v>0</v>
      </c>
      <c r="T219" s="236">
        <f t="shared" si="93"/>
        <v>0</v>
      </c>
      <c r="U219" s="237" t="str">
        <f>IF(AA219 = "", "", IF(OR($H219 = PARÂMETROS!$E$5, $H219 = ""), AA219, IF(OR(AA219 &lt; (1-VLOOKUP($H219,PARÂMETROS!$E:$F,2,FALSE))*$P219, AA219 &gt; (1+VLOOKUP($H219,PARÂMETROS!$E:$F,2,FALSE))*$P219),"",AA219)))</f>
        <v/>
      </c>
      <c r="V219" s="237" t="str">
        <f>IF(AG219 = "", "", IF(OR($H219 = PARÂMETROS!$E$5, $H219 = ""), AG219, IF(OR(AG219 &lt; (1-VLOOKUP($H219,PARÂMETROS!$E:$F,2,FALSE))*$P224, AG219 &gt; (1+VLOOKUP($H219,PARÂMETROS!$E:$F,2,FALSE))*$P219),"",AG219)))</f>
        <v/>
      </c>
      <c r="W219" s="237" t="str">
        <f>IF(AM219 = "", "", IF(OR($H219 = PARÂMETROS!$E$5, $H219 = ""), AM219, IF(OR(AM219 &lt; (1-VLOOKUP($H219,PARÂMETROS!$E:$F,2,FALSE))*$P219, AM219 &gt; (1+VLOOKUP($H219,PARÂMETROS!$E:$F,2,FALSE))*$P219),"",AM219)))</f>
        <v/>
      </c>
      <c r="X219" s="237" t="str">
        <f>IF(AS219 = "", "", IF(OR($H219 = PARÂMETROS!$E$5, $H219 = ""), AS219, IF(OR(AS219 &lt; (1-VLOOKUP($H219,PARÂMETROS!$E:$F,2,FALSE))*$P219, AS219 &gt; (1+VLOOKUP($H219,PARÂMETROS!$E:$F,2,FALSE))*$P219),"",AS219)))</f>
        <v/>
      </c>
      <c r="Y219" s="237" t="str">
        <f>IF(AY219 = "", "", IF(OR($H219 = PARÂMETROS!$E$5, $H219 = ""), AY219, IF(OR(AY219 &lt; (1-VLOOKUP($H219,PARÂMETROS!$E:$F,2,FALSE))*$P219, AY219 &gt; (1+VLOOKUP($H219,PARÂMETROS!$E:$F,2,FALSE))*$P219),"",AY219)))</f>
        <v/>
      </c>
      <c r="Z219" s="237" t="str">
        <f>IF(BE219 = "", "", IF(OR($H219 = PARÂMETROS!$E$5, $H219 = ""), BE219, IF(OR(BE219 &lt; (1-VLOOKUP($H219,PARÂMETROS!$E:$F,2,FALSE))*$P219, BE219 &gt; (1+VLOOKUP($H219,PARÂMETROS!$E:$F,2,FALSE))*$P219),"",BE219)))</f>
        <v/>
      </c>
      <c r="AA219" s="207"/>
      <c r="AB219" s="208"/>
      <c r="AC219" s="206"/>
      <c r="AD219" s="217"/>
      <c r="AE219" s="218"/>
      <c r="AF219" s="220" t="str">
        <f t="shared" ca="1" si="94"/>
        <v/>
      </c>
      <c r="AG219" s="229"/>
      <c r="AH219" s="231"/>
      <c r="AI219" s="206"/>
      <c r="AJ219" s="217"/>
      <c r="AK219" s="218"/>
      <c r="AL219" s="220" t="str">
        <f t="shared" ca="1" si="95"/>
        <v/>
      </c>
      <c r="AM219" s="229"/>
      <c r="AN219" s="231"/>
      <c r="AO219" s="206" t="str">
        <f>IF(AND(OR(AM219="",AM219=0),OR(AM219="",AN219=0)),"",IF(OR(AM219="",AM219=0),"DEFINIR PREÇO",IF(OR(AN219="",AN219=0),"DEFINIR FORNECEDOR",IF(OR(AM219&lt;&gt;"",AM219&lt;&gt;0),VLOOKUP(AN219,#REF!,2,FALSE)))))</f>
        <v/>
      </c>
      <c r="AP219" s="217"/>
      <c r="AQ219" s="218"/>
      <c r="AR219" s="220" t="str">
        <f t="shared" ca="1" si="96"/>
        <v/>
      </c>
      <c r="AS219" s="229"/>
      <c r="AT219" s="231"/>
      <c r="AU219" s="194"/>
      <c r="AV219" s="217"/>
      <c r="AW219" s="218"/>
      <c r="AX219" s="220" t="str">
        <f t="shared" ca="1" si="97"/>
        <v/>
      </c>
      <c r="AY219" s="195"/>
      <c r="AZ219" s="196"/>
      <c r="BA219" s="209" t="str">
        <f>IF(AND(OR(AY219="",AY219=0),OR(AY219="",AZ219=0)),"",IF(OR(AY219="",AY219=0),"DEFINIR PREÇO",IF(OR(AZ219="",AZ219=0),"DEFINIR FORNECEDOR",IF(OR(AY219&lt;&gt;"",AY219&lt;&gt;0),VLOOKUP(AZ219,#REF!,2,FALSE)))))</f>
        <v/>
      </c>
      <c r="BB219" s="194"/>
      <c r="BC219" s="194"/>
      <c r="BD219" s="220" t="str">
        <f t="shared" ca="1" si="98"/>
        <v/>
      </c>
      <c r="BE219" s="195"/>
      <c r="BF219" s="196"/>
      <c r="BG219" s="194"/>
      <c r="BH219" s="194"/>
      <c r="BI219" s="194"/>
      <c r="BJ219" s="197"/>
    </row>
    <row r="220" spans="1:62" x14ac:dyDescent="0.25">
      <c r="A220" s="44" t="s">
        <v>405</v>
      </c>
      <c r="B220" s="58" t="s">
        <v>427</v>
      </c>
      <c r="C220" s="45">
        <v>4</v>
      </c>
      <c r="D220" s="55" t="s">
        <v>86</v>
      </c>
      <c r="E220" s="45" t="s">
        <v>21</v>
      </c>
      <c r="F220" s="46" t="e">
        <f>VLOOKUP(N220,#REF!,4,FALSE)</f>
        <v>#REF!</v>
      </c>
      <c r="G220" s="47" t="e">
        <f>VLOOKUP(N220,#REF!,5,FALSE)</f>
        <v>#REF!</v>
      </c>
      <c r="H220" s="240" t="s">
        <v>2000</v>
      </c>
      <c r="I220" s="240" t="s">
        <v>2001</v>
      </c>
      <c r="J220" s="242" t="str">
        <f>IFERROR(IF(N220&lt;&gt;"",M220,IF(I220 = PARÂMETROS!$B$5,Q220, IF(I220 = PARÂMETROS!$B$6,R220,IF(I220 = PARÂMETROS!$B$7,S220,IF(I220 = PARÂMETROS!$B$8, T220,"DEFINIR CRITÉRIO"))))),"SEM PREÇO")</f>
        <v>SEM PREÇO</v>
      </c>
      <c r="K220" s="241">
        <f t="shared" si="87"/>
        <v>0</v>
      </c>
      <c r="L220" s="238" t="str">
        <f t="shared" si="88"/>
        <v/>
      </c>
      <c r="M220" s="180" t="e">
        <f>F220</f>
        <v>#REF!</v>
      </c>
      <c r="N220" s="52" t="s">
        <v>1276</v>
      </c>
      <c r="O220" s="53" t="s">
        <v>422</v>
      </c>
      <c r="P220" s="235">
        <f t="shared" si="89"/>
        <v>0</v>
      </c>
      <c r="Q220" s="236">
        <f t="shared" si="90"/>
        <v>0</v>
      </c>
      <c r="R220" s="236">
        <f t="shared" si="91"/>
        <v>0</v>
      </c>
      <c r="S220" s="236">
        <f t="shared" si="92"/>
        <v>0</v>
      </c>
      <c r="T220" s="236">
        <f t="shared" si="93"/>
        <v>0</v>
      </c>
      <c r="U220" s="237" t="str">
        <f>IF(AA220 = "", "", IF(OR($H220 = PARÂMETROS!$E$5, $H220 = ""), AA220, IF(OR(AA220 &lt; (1-VLOOKUP($H220,PARÂMETROS!$E:$F,2,FALSE))*$P220, AA220 &gt; (1+VLOOKUP($H220,PARÂMETROS!$E:$F,2,FALSE))*$P220),"",AA220)))</f>
        <v/>
      </c>
      <c r="V220" s="237" t="str">
        <f>IF(AG220 = "", "", IF(OR($H220 = PARÂMETROS!$E$5, $H220 = ""), AG220, IF(OR(AG220 &lt; (1-VLOOKUP($H220,PARÂMETROS!$E:$F,2,FALSE))*$P225, AG220 &gt; (1+VLOOKUP($H220,PARÂMETROS!$E:$F,2,FALSE))*$P220),"",AG220)))</f>
        <v/>
      </c>
      <c r="W220" s="237" t="str">
        <f>IF(AM220 = "", "", IF(OR($H220 = PARÂMETROS!$E$5, $H220 = ""), AM220, IF(OR(AM220 &lt; (1-VLOOKUP($H220,PARÂMETROS!$E:$F,2,FALSE))*$P220, AM220 &gt; (1+VLOOKUP($H220,PARÂMETROS!$E:$F,2,FALSE))*$P220),"",AM220)))</f>
        <v/>
      </c>
      <c r="X220" s="237" t="str">
        <f>IF(AS220 = "", "", IF(OR($H220 = PARÂMETROS!$E$5, $H220 = ""), AS220, IF(OR(AS220 &lt; (1-VLOOKUP($H220,PARÂMETROS!$E:$F,2,FALSE))*$P220, AS220 &gt; (1+VLOOKUP($H220,PARÂMETROS!$E:$F,2,FALSE))*$P220),"",AS220)))</f>
        <v/>
      </c>
      <c r="Y220" s="237" t="str">
        <f>IF(AY220 = "", "", IF(OR($H220 = PARÂMETROS!$E$5, $H220 = ""), AY220, IF(OR(AY220 &lt; (1-VLOOKUP($H220,PARÂMETROS!$E:$F,2,FALSE))*$P220, AY220 &gt; (1+VLOOKUP($H220,PARÂMETROS!$E:$F,2,FALSE))*$P220),"",AY220)))</f>
        <v/>
      </c>
      <c r="Z220" s="237" t="str">
        <f>IF(BE220 = "", "", IF(OR($H220 = PARÂMETROS!$E$5, $H220 = ""), BE220, IF(OR(BE220 &lt; (1-VLOOKUP($H220,PARÂMETROS!$E:$F,2,FALSE))*$P220, BE220 &gt; (1+VLOOKUP($H220,PARÂMETROS!$E:$F,2,FALSE))*$P220),"",BE220)))</f>
        <v/>
      </c>
      <c r="AA220" s="207"/>
      <c r="AB220" s="208"/>
      <c r="AC220" s="206"/>
      <c r="AD220" s="217"/>
      <c r="AE220" s="218"/>
      <c r="AF220" s="220" t="str">
        <f t="shared" ca="1" si="94"/>
        <v/>
      </c>
      <c r="AG220" s="229"/>
      <c r="AH220" s="231"/>
      <c r="AI220" s="206"/>
      <c r="AJ220" s="217"/>
      <c r="AK220" s="218"/>
      <c r="AL220" s="220" t="str">
        <f t="shared" ca="1" si="95"/>
        <v/>
      </c>
      <c r="AM220" s="229"/>
      <c r="AN220" s="231"/>
      <c r="AO220" s="206"/>
      <c r="AP220" s="217"/>
      <c r="AQ220" s="218"/>
      <c r="AR220" s="220" t="str">
        <f t="shared" ca="1" si="96"/>
        <v/>
      </c>
      <c r="AS220" s="229"/>
      <c r="AT220" s="231"/>
      <c r="AU220" s="194"/>
      <c r="AV220" s="217"/>
      <c r="AW220" s="218"/>
      <c r="AX220" s="220" t="str">
        <f t="shared" ca="1" si="97"/>
        <v/>
      </c>
      <c r="AY220" s="195"/>
      <c r="AZ220" s="196"/>
      <c r="BA220" s="209" t="str">
        <f>IF(AND(OR(AY220="",AY220=0),OR(AY220="",AZ220=0)),"",IF(OR(AY220="",AY220=0),"DEFINIR PREÇO",IF(OR(AZ220="",AZ220=0),"DEFINIR FORNECEDOR",IF(OR(AY220&lt;&gt;"",AY220&lt;&gt;0),VLOOKUP(AZ220,#REF!,2,FALSE)))))</f>
        <v/>
      </c>
      <c r="BB220" s="194"/>
      <c r="BC220" s="194"/>
      <c r="BD220" s="220" t="str">
        <f t="shared" ca="1" si="98"/>
        <v/>
      </c>
      <c r="BE220" s="195"/>
      <c r="BF220" s="196"/>
      <c r="BG220" s="194"/>
      <c r="BH220" s="194"/>
      <c r="BI220" s="194"/>
      <c r="BJ220" s="197"/>
    </row>
    <row r="221" spans="1:62" ht="90" x14ac:dyDescent="0.25">
      <c r="A221" s="44" t="s">
        <v>405</v>
      </c>
      <c r="B221" s="58" t="s">
        <v>131</v>
      </c>
      <c r="C221" s="45">
        <v>1</v>
      </c>
      <c r="D221" s="244" t="s">
        <v>2045</v>
      </c>
      <c r="E221" s="45" t="s">
        <v>21</v>
      </c>
      <c r="F221" s="46" t="e">
        <f>VLOOKUP(B221,#REF!,7,FALSE)</f>
        <v>#REF!</v>
      </c>
      <c r="G221" s="47" t="e">
        <f>VLOOKUP(B221,#REF!,9,FALSE)</f>
        <v>#REF!</v>
      </c>
      <c r="H221" s="240" t="s">
        <v>2000</v>
      </c>
      <c r="I221" s="240" t="s">
        <v>2001</v>
      </c>
      <c r="J221" s="242" t="str">
        <f>IFERROR(IF(N221&lt;&gt;"",M221,IF(I221 = PARÂMETROS!$B$5,Q221, IF(I221 = PARÂMETROS!$B$6,R221,IF(I221 = PARÂMETROS!$B$7,S221,IF(I221 = PARÂMETROS!$B$8, T221,"DEFINIR CRITÉRIO"))))),"SEM PREÇO")</f>
        <v>INSUMO DESCONTINUADO - USANDO SINAPI DIRETO NAS COMPOSIÇÕES</v>
      </c>
      <c r="K221" s="241">
        <f t="shared" si="87"/>
        <v>0</v>
      </c>
      <c r="L221" s="238" t="str">
        <f t="shared" si="88"/>
        <v/>
      </c>
      <c r="M221" s="249" t="s">
        <v>2076</v>
      </c>
      <c r="N221" s="52">
        <v>91692</v>
      </c>
      <c r="O221" s="53" t="s">
        <v>1264</v>
      </c>
      <c r="P221" s="235">
        <f t="shared" si="89"/>
        <v>0</v>
      </c>
      <c r="Q221" s="236">
        <f t="shared" si="90"/>
        <v>0</v>
      </c>
      <c r="R221" s="236">
        <f t="shared" si="91"/>
        <v>0</v>
      </c>
      <c r="S221" s="236">
        <f t="shared" si="92"/>
        <v>0</v>
      </c>
      <c r="T221" s="236">
        <f t="shared" si="93"/>
        <v>0</v>
      </c>
      <c r="U221" s="237" t="str">
        <f>IF(AA221 = "", "", IF(OR($H221 = PARÂMETROS!$E$5, $H221 = ""), AA221, IF(OR(AA221 &lt; (1-VLOOKUP($H221,PARÂMETROS!$E:$F,2,FALSE))*$P221, AA221 &gt; (1+VLOOKUP($H221,PARÂMETROS!$E:$F,2,FALSE))*$P221),"",AA221)))</f>
        <v/>
      </c>
      <c r="V221" s="237" t="str">
        <f>IF(AG221 = "", "", IF(OR($H221 = PARÂMETROS!$E$5, $H221 = ""), AG221, IF(OR(AG221 &lt; (1-VLOOKUP($H221,PARÂMETROS!$E:$F,2,FALSE))*$P226, AG221 &gt; (1+VLOOKUP($H221,PARÂMETROS!$E:$F,2,FALSE))*$P221),"",AG221)))</f>
        <v/>
      </c>
      <c r="W221" s="237" t="str">
        <f>IF(AM221 = "", "", IF(OR($H221 = PARÂMETROS!$E$5, $H221 = ""), AM221, IF(OR(AM221 &lt; (1-VLOOKUP($H221,PARÂMETROS!$E:$F,2,FALSE))*$P221, AM221 &gt; (1+VLOOKUP($H221,PARÂMETROS!$E:$F,2,FALSE))*$P221),"",AM221)))</f>
        <v/>
      </c>
      <c r="X221" s="237" t="str">
        <f>IF(AS221 = "", "", IF(OR($H221 = PARÂMETROS!$E$5, $H221 = ""), AS221, IF(OR(AS221 &lt; (1-VLOOKUP($H221,PARÂMETROS!$E:$F,2,FALSE))*$P221, AS221 &gt; (1+VLOOKUP($H221,PARÂMETROS!$E:$F,2,FALSE))*$P221),"",AS221)))</f>
        <v/>
      </c>
      <c r="Y221" s="237" t="str">
        <f>IF(AY221 = "", "", IF(OR($H221 = PARÂMETROS!$E$5, $H221 = ""), AY221, IF(OR(AY221 &lt; (1-VLOOKUP($H221,PARÂMETROS!$E:$F,2,FALSE))*$P221, AY221 &gt; (1+VLOOKUP($H221,PARÂMETROS!$E:$F,2,FALSE))*$P221),"",AY221)))</f>
        <v/>
      </c>
      <c r="Z221" s="237" t="str">
        <f>IF(BE221 = "", "", IF(OR($H221 = PARÂMETROS!$E$5, $H221 = ""), BE221, IF(OR(BE221 &lt; (1-VLOOKUP($H221,PARÂMETROS!$E:$F,2,FALSE))*$P221, BE221 &gt; (1+VLOOKUP($H221,PARÂMETROS!$E:$F,2,FALSE))*$P221),"",BE221)))</f>
        <v/>
      </c>
      <c r="AA221" s="207"/>
      <c r="AB221" s="208"/>
      <c r="AC221" s="206" t="str">
        <f>IF(AND(OR(AA221="",AA221=0),OR(AA221="",AB221=0)),"",IF(OR(AA221="",AA221=0),"DEFINIR PREÇO",IF(OR(AB221="",AB221=0),"DEFINIR FORNECEDOR",IF(OR(AA221&lt;&gt;"",AA221&lt;&gt;0),VLOOKUP(AB221,#REF!,2,FALSE)))))</f>
        <v/>
      </c>
      <c r="AD221" s="217"/>
      <c r="AE221" s="218"/>
      <c r="AF221" s="220" t="str">
        <f t="shared" ca="1" si="94"/>
        <v/>
      </c>
      <c r="AG221" s="229"/>
      <c r="AH221" s="231"/>
      <c r="AI221" s="206" t="str">
        <f>IF(AND(OR(AG221="",AG221=0),OR(AG221="",AH221=0)),"",IF(OR(AG221="",AG221=0),"DEFINIR PREÇO",IF(OR(AH221="",AH221=0),"DEFINIR FORNECEDOR",IF(OR(AG221&lt;&gt;"",AG221&lt;&gt;0),VLOOKUP(AH221,#REF!,2,FALSE)))))</f>
        <v/>
      </c>
      <c r="AJ221" s="217"/>
      <c r="AK221" s="218"/>
      <c r="AL221" s="220" t="str">
        <f t="shared" ca="1" si="95"/>
        <v/>
      </c>
      <c r="AM221" s="229"/>
      <c r="AN221" s="231"/>
      <c r="AO221" s="206" t="str">
        <f>IF(AND(OR(AM221="",AM221=0),OR(AM221="",AN221=0)),"",IF(OR(AM221="",AM221=0),"DEFINIR PREÇO",IF(OR(AN221="",AN221=0),"DEFINIR FORNECEDOR",IF(OR(AM221&lt;&gt;"",AM221&lt;&gt;0),VLOOKUP(AN221,#REF!,2,FALSE)))))</f>
        <v/>
      </c>
      <c r="AP221" s="217"/>
      <c r="AQ221" s="218"/>
      <c r="AR221" s="220" t="str">
        <f t="shared" ca="1" si="96"/>
        <v/>
      </c>
      <c r="AS221" s="229"/>
      <c r="AT221" s="231"/>
      <c r="AU221" s="194"/>
      <c r="AV221" s="217"/>
      <c r="AW221" s="218"/>
      <c r="AX221" s="220" t="str">
        <f t="shared" ca="1" si="97"/>
        <v/>
      </c>
      <c r="AY221" s="195"/>
      <c r="AZ221" s="196"/>
      <c r="BA221" s="209" t="str">
        <f>IF(AND(OR(AY221="",AY221=0),OR(AY221="",AZ221=0)),"",IF(OR(AY221="",AY221=0),"DEFINIR PREÇO",IF(OR(AZ221="",AZ221=0),"DEFINIR FORNECEDOR",IF(OR(AY221&lt;&gt;"",AY221&lt;&gt;0),VLOOKUP(AZ221,#REF!,2,FALSE)))))</f>
        <v/>
      </c>
      <c r="BB221" s="194"/>
      <c r="BC221" s="194"/>
      <c r="BD221" s="220" t="str">
        <f t="shared" ca="1" si="98"/>
        <v/>
      </c>
      <c r="BE221" s="195"/>
      <c r="BF221" s="196"/>
      <c r="BG221" s="194"/>
      <c r="BH221" s="194"/>
      <c r="BI221" s="194"/>
      <c r="BJ221" s="197"/>
    </row>
    <row r="222" spans="1:62" ht="30" x14ac:dyDescent="0.25">
      <c r="A222" s="44" t="s">
        <v>405</v>
      </c>
      <c r="B222" s="58" t="s">
        <v>1137</v>
      </c>
      <c r="C222" s="45">
        <v>1</v>
      </c>
      <c r="D222" s="55" t="s">
        <v>1138</v>
      </c>
      <c r="E222" s="45" t="s">
        <v>21</v>
      </c>
      <c r="F222" s="46" t="e">
        <f>VLOOKUP(B222,#REF!,4,FALSE)</f>
        <v>#REF!</v>
      </c>
      <c r="G222" s="47" t="e">
        <f>VLOOKUP(B222,#REF!,4,FALSE)</f>
        <v>#REF!</v>
      </c>
      <c r="H222" s="240" t="s">
        <v>2000</v>
      </c>
      <c r="I222" s="240" t="s">
        <v>2001</v>
      </c>
      <c r="J222" s="242" t="str">
        <f>IFERROR(IF(N222&lt;&gt;"",M222,IF(I222 = PARÂMETROS!$B$5,Q222, IF(I222 = PARÂMETROS!$B$6,R222,IF(I222 = PARÂMETROS!$B$7,S222,IF(I222 = PARÂMETROS!$B$8, T222,"DEFINIR CRITÉRIO"))))),"SEM PREÇO")</f>
        <v>DEFINIR CRITÉRIO</v>
      </c>
      <c r="K222" s="241" t="str">
        <f t="shared" si="87"/>
        <v/>
      </c>
      <c r="L222" s="238" t="str">
        <f t="shared" si="88"/>
        <v/>
      </c>
      <c r="M222" s="51"/>
      <c r="N222" s="52"/>
      <c r="O222" s="53" t="s">
        <v>26</v>
      </c>
      <c r="P222" s="235">
        <f t="shared" si="89"/>
        <v>1786.8833333333332</v>
      </c>
      <c r="Q222" s="236">
        <f t="shared" si="90"/>
        <v>0</v>
      </c>
      <c r="R222" s="236">
        <f t="shared" si="91"/>
        <v>0</v>
      </c>
      <c r="S222" s="236">
        <f t="shared" si="92"/>
        <v>0</v>
      </c>
      <c r="T222" s="236">
        <f t="shared" si="93"/>
        <v>0</v>
      </c>
      <c r="U222" s="237" t="e">
        <f>IF(AA222 = "", "", IF(OR($H222 = PARÂMETROS!$E$5, $H222 = ""), AA222, IF(OR(AA222 &lt; (1-VLOOKUP($H222,PARÂMETROS!$E:$F,2,FALSE))*$P222, AA222 &gt; (1+VLOOKUP($H222,PARÂMETROS!$E:$F,2,FALSE))*$P222),"",AA222)))</f>
        <v>#N/A</v>
      </c>
      <c r="V222" s="237" t="e">
        <f>IF(AG222 = "", "", IF(OR($H222 = PARÂMETROS!$E$5, $H222 = ""), AG222, IF(OR(AG222 &lt; (1-VLOOKUP($H222,PARÂMETROS!$E:$F,2,FALSE))*$P227, AG222 &gt; (1+VLOOKUP($H222,PARÂMETROS!$E:$F,2,FALSE))*$P222),"",AG222)))</f>
        <v>#N/A</v>
      </c>
      <c r="W222" s="237" t="e">
        <f>IF(AM222 = "", "", IF(OR($H222 = PARÂMETROS!$E$5, $H222 = ""), AM222, IF(OR(AM222 &lt; (1-VLOOKUP($H222,PARÂMETROS!$E:$F,2,FALSE))*$P222, AM222 &gt; (1+VLOOKUP($H222,PARÂMETROS!$E:$F,2,FALSE))*$P222),"",AM222)))</f>
        <v>#N/A</v>
      </c>
      <c r="X222" s="237" t="str">
        <f>IF(AS222 = "", "", IF(OR($H222 = PARÂMETROS!$E$5, $H222 = ""), AS222, IF(OR(AS222 &lt; (1-VLOOKUP($H222,PARÂMETROS!$E:$F,2,FALSE))*$P222, AS222 &gt; (1+VLOOKUP($H222,PARÂMETROS!$E:$F,2,FALSE))*$P222),"",AS222)))</f>
        <v/>
      </c>
      <c r="Y222" s="237" t="str">
        <f>IF(AY222 = "", "", IF(OR($H222 = PARÂMETROS!$E$5, $H222 = ""), AY222, IF(OR(AY222 &lt; (1-VLOOKUP($H222,PARÂMETROS!$E:$F,2,FALSE))*$P222, AY222 &gt; (1+VLOOKUP($H222,PARÂMETROS!$E:$F,2,FALSE))*$P222),"",AY222)))</f>
        <v/>
      </c>
      <c r="Z222" s="237" t="str">
        <f>IF(BE222 = "", "", IF(OR($H222 = PARÂMETROS!$E$5, $H222 = ""), BE222, IF(OR(BE222 &lt; (1-VLOOKUP($H222,PARÂMETROS!$E:$F,2,FALSE))*$P222, BE222 &gt; (1+VLOOKUP($H222,PARÂMETROS!$E:$F,2,FALSE))*$P222),"",BE222)))</f>
        <v/>
      </c>
      <c r="AA222" s="207">
        <v>2680.75</v>
      </c>
      <c r="AB222" s="208">
        <v>866</v>
      </c>
      <c r="AC222" s="206" t="e">
        <f>IF(AND(OR(AA222="",AA222=0),OR(AA222="",AB222=0)),"",IF(OR(AA222="",AA222=0),"DEFINIR PREÇO",IF(OR(AB222="",AB222=0),"DEFINIR FORNECEDOR",IF(OR(AA222&lt;&gt;"",AA222&lt;&gt;0),VLOOKUP(AB222,#REF!,2,FALSE)))))</f>
        <v>#REF!</v>
      </c>
      <c r="AD222" s="217" t="s">
        <v>1977</v>
      </c>
      <c r="AE222" s="218">
        <v>44924</v>
      </c>
      <c r="AF222" s="220" t="str">
        <f t="shared" ca="1" si="94"/>
        <v>DESATUALIZADA</v>
      </c>
      <c r="AG222" s="229">
        <v>1760.9</v>
      </c>
      <c r="AH222" s="231">
        <v>888</v>
      </c>
      <c r="AI222" s="206" t="e">
        <f>IF(AND(OR(AG222="",AG222=0),OR(AG222="",AH222=0)),"",IF(OR(AG222="",AG222=0),"DEFINIR PREÇO",IF(OR(AH222="",AH222=0),"DEFINIR FORNECEDOR",IF(OR(AG222&lt;&gt;"",AG222&lt;&gt;0),VLOOKUP(AH222,#REF!,2,FALSE)))))</f>
        <v>#REF!</v>
      </c>
      <c r="AJ222" s="217" t="s">
        <v>1977</v>
      </c>
      <c r="AK222" s="218">
        <v>44924</v>
      </c>
      <c r="AL222" s="220" t="str">
        <f t="shared" ca="1" si="95"/>
        <v>DESATUALIZADA</v>
      </c>
      <c r="AM222" s="229">
        <v>919</v>
      </c>
      <c r="AN222" s="231">
        <v>867</v>
      </c>
      <c r="AO222" s="206" t="e">
        <f>IF(AND(OR(AM222="",AM222=0),OR(AM222="",AN222=0)),"",IF(OR(AM222="",AM222=0),"DEFINIR PREÇO",IF(OR(AN222="",AN222=0),"DEFINIR FORNECEDOR",IF(OR(AM222&lt;&gt;"",AM222&lt;&gt;0),VLOOKUP(AN222,#REF!,2,FALSE)))))</f>
        <v>#REF!</v>
      </c>
      <c r="AP222" s="217" t="s">
        <v>1977</v>
      </c>
      <c r="AQ222" s="218">
        <v>44924</v>
      </c>
      <c r="AR222" s="220" t="str">
        <f t="shared" ca="1" si="96"/>
        <v>DESATUALIZADA</v>
      </c>
      <c r="AS222" s="229"/>
      <c r="AT222" s="231"/>
      <c r="AU222" s="191" t="str">
        <f>IF(AND(OR(AS222="",AS222=0),OR(AS222="",AT222=0)),"",IF(OR(AS222="",AS222=0),"DEFINIR PREÇO",IF(OR(AT222="",AT222=0),"DEFINIR FORNECEDOR",IF(OR(AS222&lt;&gt;"",AS222&lt;&gt;0),VLOOKUP(AT222,#REF!,2,FALSE)))))</f>
        <v/>
      </c>
      <c r="AV222" s="217"/>
      <c r="AW222" s="218"/>
      <c r="AX222" s="220" t="str">
        <f t="shared" ca="1" si="97"/>
        <v/>
      </c>
      <c r="AY222" s="195"/>
      <c r="AZ222" s="196"/>
      <c r="BA222" s="209" t="str">
        <f>IF(AND(OR(AY222="",AY222=0),OR(AY222="",AZ222=0)),"",IF(OR(AY222="",AY222=0),"DEFINIR PREÇO",IF(OR(AZ222="",AZ222=0),"DEFINIR FORNECEDOR",IF(OR(AY222&lt;&gt;"",AY222&lt;&gt;0),VLOOKUP(AZ222,#REF!,2,FALSE)))))</f>
        <v/>
      </c>
      <c r="BB222" s="194"/>
      <c r="BC222" s="194"/>
      <c r="BD222" s="220" t="str">
        <f t="shared" ca="1" si="98"/>
        <v/>
      </c>
      <c r="BE222" s="195"/>
      <c r="BF222" s="196"/>
      <c r="BG222" s="194"/>
      <c r="BH222" s="194"/>
      <c r="BI222" s="194"/>
      <c r="BJ222" s="197"/>
    </row>
    <row r="223" spans="1:62" ht="30" x14ac:dyDescent="0.25">
      <c r="A223" s="44" t="s">
        <v>405</v>
      </c>
      <c r="B223" s="45" t="s">
        <v>248</v>
      </c>
      <c r="C223" s="45">
        <v>4</v>
      </c>
      <c r="D223" s="55" t="s">
        <v>242</v>
      </c>
      <c r="E223" s="45" t="s">
        <v>21</v>
      </c>
      <c r="F223" s="158" t="e">
        <f>VLOOKUP(B223,#REF!,4,FALSE)</f>
        <v>#REF!</v>
      </c>
      <c r="G223" s="47" t="e">
        <f>VLOOKUP(B223,#REF!,4,FALSE)</f>
        <v>#REF!</v>
      </c>
      <c r="H223" s="240" t="s">
        <v>2000</v>
      </c>
      <c r="I223" s="240" t="s">
        <v>1999</v>
      </c>
      <c r="J223" s="242" t="str">
        <f>IFERROR(IF(N223&lt;&gt;"",M223,IF(I223 = PARÂMETROS!$B$5,Q223, IF(I223 = PARÂMETROS!$B$6,R223,IF(I223 = PARÂMETROS!$B$7,S223,IF(I223 = PARÂMETROS!$B$8, T223,"DEFINIR CRITÉRIO"))))),"SEM PREÇO")</f>
        <v>DEFINIR CRITÉRIO</v>
      </c>
      <c r="K223" s="241" t="str">
        <f t="shared" si="87"/>
        <v/>
      </c>
      <c r="L223" s="238" t="str">
        <f t="shared" si="88"/>
        <v/>
      </c>
      <c r="M223" s="51"/>
      <c r="N223" s="52"/>
      <c r="O223" s="53" t="s">
        <v>26</v>
      </c>
      <c r="P223" s="235">
        <f t="shared" si="89"/>
        <v>1609.3466666666666</v>
      </c>
      <c r="Q223" s="236">
        <f t="shared" si="90"/>
        <v>0</v>
      </c>
      <c r="R223" s="236">
        <f t="shared" si="91"/>
        <v>0</v>
      </c>
      <c r="S223" s="236">
        <f t="shared" si="92"/>
        <v>0</v>
      </c>
      <c r="T223" s="236">
        <f t="shared" si="93"/>
        <v>0</v>
      </c>
      <c r="U223" s="237" t="e">
        <f>IF(AA223 = "", "", IF(OR($H223 = PARÂMETROS!$E$5, $H223 = ""), AA223, IF(OR(AA223 &lt; (1-VLOOKUP($H223,PARÂMETROS!$E:$F,2,FALSE))*$P223, AA223 &gt; (1+VLOOKUP($H223,PARÂMETROS!$E:$F,2,FALSE))*$P223),"",AA223)))</f>
        <v>#N/A</v>
      </c>
      <c r="V223" s="237" t="e">
        <f>IF(AG223 = "", "", IF(OR($H223 = PARÂMETROS!$E$5, $H223 = ""), AG223, IF(OR(AG223 &lt; (1-VLOOKUP($H223,PARÂMETROS!$E:$F,2,FALSE))*$P228, AG223 &gt; (1+VLOOKUP($H223,PARÂMETROS!$E:$F,2,FALSE))*$P223),"",AG223)))</f>
        <v>#N/A</v>
      </c>
      <c r="W223" s="237" t="e">
        <f>IF(AM223 = "", "", IF(OR($H223 = PARÂMETROS!$E$5, $H223 = ""), AM223, IF(OR(AM223 &lt; (1-VLOOKUP($H223,PARÂMETROS!$E:$F,2,FALSE))*$P223, AM223 &gt; (1+VLOOKUP($H223,PARÂMETROS!$E:$F,2,FALSE))*$P223),"",AM223)))</f>
        <v>#N/A</v>
      </c>
      <c r="X223" s="237" t="str">
        <f>IF(AS223 = "", "", IF(OR($H223 = PARÂMETROS!$E$5, $H223 = ""), AS223, IF(OR(AS223 &lt; (1-VLOOKUP($H223,PARÂMETROS!$E:$F,2,FALSE))*$P223, AS223 &gt; (1+VLOOKUP($H223,PARÂMETROS!$E:$F,2,FALSE))*$P223),"",AS223)))</f>
        <v/>
      </c>
      <c r="Y223" s="237" t="str">
        <f>IF(AY223 = "", "", IF(OR($H223 = PARÂMETROS!$E$5, $H223 = ""), AY223, IF(OR(AY223 &lt; (1-VLOOKUP($H223,PARÂMETROS!$E:$F,2,FALSE))*$P223, AY223 &gt; (1+VLOOKUP($H223,PARÂMETROS!$E:$F,2,FALSE))*$P223),"",AY223)))</f>
        <v/>
      </c>
      <c r="Z223" s="237" t="str">
        <f>IF(BE223 = "", "", IF(OR($H223 = PARÂMETROS!$E$5, $H223 = ""), BE223, IF(OR(BE223 &lt; (1-VLOOKUP($H223,PARÂMETROS!$E:$F,2,FALSE))*$P223, BE223 &gt; (1+VLOOKUP($H223,PARÂMETROS!$E:$F,2,FALSE))*$P223),"",BE223)))</f>
        <v/>
      </c>
      <c r="AA223" s="207">
        <v>1709.05</v>
      </c>
      <c r="AB223" s="208">
        <v>1183</v>
      </c>
      <c r="AC223" s="206" t="e">
        <f>IF(AND(OR(AA223="",AA223=0),OR(AA223="",AB223=0)),"",IF(OR(AA223="",AA223=0),"DEFINIR PREÇO",IF(OR(AB223="",AB223=0),"DEFINIR FORNECEDOR",IF(OR(AA223&lt;&gt;"",AA223&lt;&gt;0),VLOOKUP(AB223,#REF!,2,FALSE)))))</f>
        <v>#REF!</v>
      </c>
      <c r="AD223" s="217" t="s">
        <v>1977</v>
      </c>
      <c r="AE223" s="218">
        <v>44924</v>
      </c>
      <c r="AF223" s="220" t="str">
        <f t="shared" ca="1" si="94"/>
        <v>DESATUALIZADA</v>
      </c>
      <c r="AG223" s="229">
        <v>1749.99</v>
      </c>
      <c r="AH223" s="231">
        <v>607</v>
      </c>
      <c r="AI223" s="206" t="e">
        <f>IF(AND(OR(AG223="",AG223=0),OR(AG223="",AH223=0)),"",IF(OR(AG223="",AG223=0),"DEFINIR PREÇO",IF(OR(AH223="",AH223=0),"DEFINIR FORNECEDOR",IF(OR(AG223&lt;&gt;"",AG223&lt;&gt;0),VLOOKUP(AH223,#REF!,2,FALSE)))))</f>
        <v>#REF!</v>
      </c>
      <c r="AJ223" s="217" t="s">
        <v>1977</v>
      </c>
      <c r="AK223" s="218">
        <v>44924</v>
      </c>
      <c r="AL223" s="220" t="str">
        <f t="shared" ca="1" si="95"/>
        <v>DESATUALIZADA</v>
      </c>
      <c r="AM223" s="229">
        <v>1369</v>
      </c>
      <c r="AN223" s="231">
        <v>2174</v>
      </c>
      <c r="AO223" s="206" t="e">
        <f>IF(AND(OR(AM223="",AM223=0),OR(AM223="",AN223=0)),"",IF(OR(AM223="",AM223=0),"DEFINIR PREÇO",IF(OR(AN223="",AN223=0),"DEFINIR FORNECEDOR",IF(OR(AM223&lt;&gt;"",AM223&lt;&gt;0),VLOOKUP(AN223,#REF!,2,FALSE)))))</f>
        <v>#REF!</v>
      </c>
      <c r="AP223" s="217" t="s">
        <v>1977</v>
      </c>
      <c r="AQ223" s="218">
        <v>44924</v>
      </c>
      <c r="AR223" s="220" t="str">
        <f t="shared" ca="1" si="96"/>
        <v>DESATUALIZADA</v>
      </c>
      <c r="AS223" s="229"/>
      <c r="AT223" s="231"/>
      <c r="AU223" s="194"/>
      <c r="AV223" s="217"/>
      <c r="AW223" s="218"/>
      <c r="AX223" s="220" t="str">
        <f t="shared" ca="1" si="97"/>
        <v/>
      </c>
      <c r="AY223" s="195"/>
      <c r="AZ223" s="196"/>
      <c r="BA223" s="209" t="str">
        <f>IF(AND(OR(AY223="",AY223=0),OR(AY223="",AZ223=0)),"",IF(OR(AY223="",AY223=0),"DEFINIR PREÇO",IF(OR(AZ223="",AZ223=0),"DEFINIR FORNECEDOR",IF(OR(AY223&lt;&gt;"",AY223&lt;&gt;0),VLOOKUP(AZ223,#REF!,2,FALSE)))))</f>
        <v/>
      </c>
      <c r="BB223" s="201"/>
      <c r="BC223" s="201"/>
      <c r="BD223" s="220" t="str">
        <f t="shared" ca="1" si="98"/>
        <v/>
      </c>
      <c r="BE223" s="195"/>
      <c r="BF223" s="196"/>
      <c r="BG223" s="194"/>
      <c r="BH223" s="201"/>
      <c r="BI223" s="201"/>
      <c r="BJ223" s="200"/>
    </row>
    <row r="224" spans="1:62" ht="30.75" customHeight="1" x14ac:dyDescent="0.25">
      <c r="A224" s="44" t="s">
        <v>405</v>
      </c>
      <c r="B224" s="58" t="s">
        <v>392</v>
      </c>
      <c r="C224" s="45">
        <v>4</v>
      </c>
      <c r="D224" s="179" t="s">
        <v>381</v>
      </c>
      <c r="E224" s="152" t="s">
        <v>29</v>
      </c>
      <c r="F224" s="158" t="str">
        <f>J224</f>
        <v>DEFINIR CRITÉRIO</v>
      </c>
      <c r="G224" s="47" t="str">
        <f>J224</f>
        <v>DEFINIR CRITÉRIO</v>
      </c>
      <c r="H224" s="240" t="s">
        <v>2000</v>
      </c>
      <c r="I224" s="240" t="s">
        <v>2001</v>
      </c>
      <c r="J224" s="242" t="str">
        <f>IFERROR(IF(N224&lt;&gt;"",M224,IF(I224 = PARÂMETROS!$B$5,Q224, IF(I224 = PARÂMETROS!$B$6,R224,IF(I224 = PARÂMETROS!$B$7,S224,IF(I224 = PARÂMETROS!$B$8, T224,"DEFINIR CRITÉRIO"))))),"SEM PREÇO")</f>
        <v>DEFINIR CRITÉRIO</v>
      </c>
      <c r="K224" s="241" t="str">
        <f t="shared" si="87"/>
        <v/>
      </c>
      <c r="L224" s="238" t="str">
        <f t="shared" si="88"/>
        <v/>
      </c>
      <c r="M224" s="51"/>
      <c r="N224" s="52"/>
      <c r="O224" s="53"/>
      <c r="P224" s="235">
        <f t="shared" si="89"/>
        <v>2715.76</v>
      </c>
      <c r="Q224" s="236">
        <f t="shared" si="90"/>
        <v>0</v>
      </c>
      <c r="R224" s="236">
        <f t="shared" si="91"/>
        <v>0</v>
      </c>
      <c r="S224" s="236">
        <f t="shared" si="92"/>
        <v>0</v>
      </c>
      <c r="T224" s="236">
        <f t="shared" si="93"/>
        <v>0</v>
      </c>
      <c r="U224" s="237" t="e">
        <f>IF(AA224 = "", "", IF(OR($H224 = PARÂMETROS!$E$5, $H224 = ""), AA224, IF(OR(AA224 &lt; (1-VLOOKUP($H224,PARÂMETROS!$E:$F,2,FALSE))*$P224, AA224 &gt; (1+VLOOKUP($H224,PARÂMETROS!$E:$F,2,FALSE))*$P224),"",AA224)))</f>
        <v>#N/A</v>
      </c>
      <c r="V224" s="237" t="str">
        <f>IF(AG224 = "", "", IF(OR($H224 = PARÂMETROS!$E$5, $H224 = ""), AG224, IF(OR(AG224 &lt; (1-VLOOKUP($H224,PARÂMETROS!$E:$F,2,FALSE))*$P229, AG224 &gt; (1+VLOOKUP($H224,PARÂMETROS!$E:$F,2,FALSE))*$P224),"",AG224)))</f>
        <v/>
      </c>
      <c r="W224" s="237" t="str">
        <f>IF(AM224 = "", "", IF(OR($H224 = PARÂMETROS!$E$5, $H224 = ""), AM224, IF(OR(AM224 &lt; (1-VLOOKUP($H224,PARÂMETROS!$E:$F,2,FALSE))*$P224, AM224 &gt; (1+VLOOKUP($H224,PARÂMETROS!$E:$F,2,FALSE))*$P224),"",AM224)))</f>
        <v/>
      </c>
      <c r="X224" s="237" t="str">
        <f>IF(AS224 = "", "", IF(OR($H224 = PARÂMETROS!$E$5, $H224 = ""), AS224, IF(OR(AS224 &lt; (1-VLOOKUP($H224,PARÂMETROS!$E:$F,2,FALSE))*$P224, AS224 &gt; (1+VLOOKUP($H224,PARÂMETROS!$E:$F,2,FALSE))*$P224),"",AS224)))</f>
        <v/>
      </c>
      <c r="Y224" s="237" t="str">
        <f>IF(AY224 = "", "", IF(OR($H224 = PARÂMETROS!$E$5, $H224 = ""), AY224, IF(OR(AY224 &lt; (1-VLOOKUP($H224,PARÂMETROS!$E:$F,2,FALSE))*$P224, AY224 &gt; (1+VLOOKUP($H224,PARÂMETROS!$E:$F,2,FALSE))*$P224),"",AY224)))</f>
        <v/>
      </c>
      <c r="Z224" s="237" t="str">
        <f>IF(BE224 = "", "", IF(OR($H224 = PARÂMETROS!$E$5, $H224 = ""), BE224, IF(OR(BE224 &lt; (1-VLOOKUP($H224,PARÂMETROS!$E:$F,2,FALSE))*$P224, BE224 &gt; (1+VLOOKUP($H224,PARÂMETROS!$E:$F,2,FALSE))*$P224),"",BE224)))</f>
        <v/>
      </c>
      <c r="AA224" s="49">
        <v>2715.76</v>
      </c>
      <c r="AB224" s="50">
        <v>241</v>
      </c>
      <c r="AC224" s="206" t="e">
        <f>IF(AND(OR(AA224="",AA224=0),OR(AA224="",AB224=0)),"",IF(OR(AA224="",AA224=0),"DEFINIR PREÇO",IF(OR(AB224="",AB224=0),"DEFINIR FORNECEDOR",IF(OR(AA224&lt;&gt;"",AA224&lt;&gt;0),VLOOKUP(AB224,#REF!,2,FALSE)))))</f>
        <v>#REF!</v>
      </c>
      <c r="AD224" s="56">
        <v>1124</v>
      </c>
      <c r="AE224" s="218">
        <v>44742</v>
      </c>
      <c r="AF224" s="220" t="str">
        <f t="shared" ca="1" si="94"/>
        <v>DESATUALIZADA</v>
      </c>
      <c r="AG224" s="229"/>
      <c r="AH224" s="231"/>
      <c r="AI224" s="206"/>
      <c r="AJ224" s="217"/>
      <c r="AK224" s="218"/>
      <c r="AL224" s="220" t="str">
        <f t="shared" ca="1" si="95"/>
        <v/>
      </c>
      <c r="AM224" s="229"/>
      <c r="AN224" s="231"/>
      <c r="AO224" s="206" t="str">
        <f>IF(AND(OR(AM224="",AM224=0),OR(AM224="",AN224=0)),"",IF(OR(AM224="",AM224=0),"DEFINIR PREÇO",IF(OR(AN224="",AN224=0),"DEFINIR FORNECEDOR",IF(OR(AM224&lt;&gt;"",AM224&lt;&gt;0),VLOOKUP(AN224,#REF!,2,FALSE)))))</f>
        <v/>
      </c>
      <c r="AP224" s="217"/>
      <c r="AQ224" s="218"/>
      <c r="AR224" s="220" t="str">
        <f t="shared" ca="1" si="96"/>
        <v/>
      </c>
      <c r="AS224" s="229"/>
      <c r="AT224" s="231"/>
      <c r="AU224" s="194"/>
      <c r="AV224" s="217"/>
      <c r="AW224" s="218"/>
      <c r="AX224" s="220" t="str">
        <f t="shared" ca="1" si="97"/>
        <v/>
      </c>
      <c r="AY224" s="195"/>
      <c r="AZ224" s="196"/>
      <c r="BA224" s="209" t="str">
        <f>IF(AND(OR(AY224="",AY224=0),OR(AY224="",AZ224=0)),"",IF(OR(AY224="",AY224=0),"DEFINIR PREÇO",IF(OR(AZ224="",AZ224=0),"DEFINIR FORNECEDOR",IF(OR(AY224&lt;&gt;"",AY224&lt;&gt;0),VLOOKUP(AZ224,#REF!,2,FALSE)))))</f>
        <v/>
      </c>
      <c r="BB224" s="194"/>
      <c r="BC224" s="194"/>
      <c r="BD224" s="220" t="str">
        <f t="shared" ca="1" si="98"/>
        <v/>
      </c>
      <c r="BE224" s="195"/>
      <c r="BF224" s="196"/>
      <c r="BG224" s="194"/>
      <c r="BH224" s="194"/>
      <c r="BI224" s="194"/>
      <c r="BJ224" s="197"/>
    </row>
    <row r="225" spans="1:62" x14ac:dyDescent="0.25">
      <c r="A225" s="44" t="s">
        <v>405</v>
      </c>
      <c r="B225" s="58" t="s">
        <v>1352</v>
      </c>
      <c r="C225" s="45"/>
      <c r="D225" s="55" t="s">
        <v>1353</v>
      </c>
      <c r="E225" s="45" t="s">
        <v>34</v>
      </c>
      <c r="F225" s="158" t="str">
        <f>J225</f>
        <v>SEM PREÇO</v>
      </c>
      <c r="G225" s="47" t="str">
        <f>J225</f>
        <v>SEM PREÇO</v>
      </c>
      <c r="H225" s="240" t="s">
        <v>2000</v>
      </c>
      <c r="I225" s="240" t="s">
        <v>2001</v>
      </c>
      <c r="J225" s="242" t="str">
        <f>IFERROR(IF(N225&lt;&gt;"",M225,IF(I225 = PARÂMETROS!$B$5,Q225, IF(I225 = PARÂMETROS!$B$6,R225,IF(I225 = PARÂMETROS!$B$7,S225,IF(I225 = PARÂMETROS!$B$8, T225,"DEFINIR CRITÉRIO"))))),"SEM PREÇO")</f>
        <v>SEM PREÇO</v>
      </c>
      <c r="K225" s="241">
        <f t="shared" si="87"/>
        <v>0</v>
      </c>
      <c r="L225" s="238" t="str">
        <f t="shared" si="88"/>
        <v/>
      </c>
      <c r="M225" s="51" t="e">
        <f>VLOOKUP(N225,#REF!,4,FALSE)</f>
        <v>#REF!</v>
      </c>
      <c r="N225" s="52">
        <v>4721</v>
      </c>
      <c r="O225" s="53" t="s">
        <v>404</v>
      </c>
      <c r="P225" s="235">
        <f t="shared" si="89"/>
        <v>0</v>
      </c>
      <c r="Q225" s="236">
        <f t="shared" si="90"/>
        <v>0</v>
      </c>
      <c r="R225" s="236">
        <f t="shared" si="91"/>
        <v>0</v>
      </c>
      <c r="S225" s="236">
        <f t="shared" si="92"/>
        <v>0</v>
      </c>
      <c r="T225" s="236">
        <f t="shared" si="93"/>
        <v>0</v>
      </c>
      <c r="U225" s="237" t="str">
        <f>IF(AA225 = "", "", IF(OR($H225 = PARÂMETROS!$E$5, $H225 = ""), AA225, IF(OR(AA225 &lt; (1-VLOOKUP($H225,PARÂMETROS!$E:$F,2,FALSE))*$P225, AA225 &gt; (1+VLOOKUP($H225,PARÂMETROS!$E:$F,2,FALSE))*$P225),"",AA225)))</f>
        <v/>
      </c>
      <c r="V225" s="237" t="str">
        <f>IF(AG225 = "", "", IF(OR($H225 = PARÂMETROS!$E$5, $H225 = ""), AG225, IF(OR(AG225 &lt; (1-VLOOKUP($H225,PARÂMETROS!$E:$F,2,FALSE))*$P230, AG225 &gt; (1+VLOOKUP($H225,PARÂMETROS!$E:$F,2,FALSE))*$P225),"",AG225)))</f>
        <v/>
      </c>
      <c r="W225" s="237" t="str">
        <f>IF(AM225 = "", "", IF(OR($H225 = PARÂMETROS!$E$5, $H225 = ""), AM225, IF(OR(AM225 &lt; (1-VLOOKUP($H225,PARÂMETROS!$E:$F,2,FALSE))*$P225, AM225 &gt; (1+VLOOKUP($H225,PARÂMETROS!$E:$F,2,FALSE))*$P225),"",AM225)))</f>
        <v/>
      </c>
      <c r="X225" s="237" t="str">
        <f>IF(AS225 = "", "", IF(OR($H225 = PARÂMETROS!$E$5, $H225 = ""), AS225, IF(OR(AS225 &lt; (1-VLOOKUP($H225,PARÂMETROS!$E:$F,2,FALSE))*$P225, AS225 &gt; (1+VLOOKUP($H225,PARÂMETROS!$E:$F,2,FALSE))*$P225),"",AS225)))</f>
        <v/>
      </c>
      <c r="Y225" s="237" t="str">
        <f>IF(AY225 = "", "", IF(OR($H225 = PARÂMETROS!$E$5, $H225 = ""), AY225, IF(OR(AY225 &lt; (1-VLOOKUP($H225,PARÂMETROS!$E:$F,2,FALSE))*$P225, AY225 &gt; (1+VLOOKUP($H225,PARÂMETROS!$E:$F,2,FALSE))*$P225),"",AY225)))</f>
        <v/>
      </c>
      <c r="Z225" s="237" t="str">
        <f>IF(BE225 = "", "", IF(OR($H225 = PARÂMETROS!$E$5, $H225 = ""), BE225, IF(OR(BE225 &lt; (1-VLOOKUP($H225,PARÂMETROS!$E:$F,2,FALSE))*$P225, BE225 &gt; (1+VLOOKUP($H225,PARÂMETROS!$E:$F,2,FALSE))*$P225),"",BE225)))</f>
        <v/>
      </c>
      <c r="AA225" s="207"/>
      <c r="AB225" s="208"/>
      <c r="AC225" s="206"/>
      <c r="AD225" s="217"/>
      <c r="AE225" s="218"/>
      <c r="AF225" s="220" t="str">
        <f t="shared" ca="1" si="94"/>
        <v/>
      </c>
      <c r="AG225" s="229"/>
      <c r="AH225" s="231"/>
      <c r="AI225" s="206"/>
      <c r="AJ225" s="217"/>
      <c r="AK225" s="218"/>
      <c r="AL225" s="220" t="str">
        <f t="shared" ca="1" si="95"/>
        <v/>
      </c>
      <c r="AM225" s="229"/>
      <c r="AN225" s="231"/>
      <c r="AO225" s="206"/>
      <c r="AP225" s="217"/>
      <c r="AQ225" s="218"/>
      <c r="AR225" s="220" t="str">
        <f t="shared" ca="1" si="96"/>
        <v/>
      </c>
      <c r="AS225" s="229"/>
      <c r="AT225" s="231"/>
      <c r="AU225" s="194"/>
      <c r="AV225" s="217"/>
      <c r="AW225" s="218"/>
      <c r="AX225" s="220" t="str">
        <f t="shared" ca="1" si="97"/>
        <v/>
      </c>
      <c r="AY225" s="195"/>
      <c r="AZ225" s="196"/>
      <c r="BA225" s="209" t="str">
        <f>IF(AND(OR(AY225="",AY225=0),OR(AY225="",AZ225=0)),"",IF(OR(AY225="",AY225=0),"DEFINIR PREÇO",IF(OR(AZ225="",AZ225=0),"DEFINIR FORNECEDOR",IF(OR(AY225&lt;&gt;"",AY225&lt;&gt;0),VLOOKUP(AZ225,#REF!,2,FALSE)))))</f>
        <v/>
      </c>
      <c r="BB225" s="194"/>
      <c r="BC225" s="194"/>
      <c r="BD225" s="220" t="str">
        <f t="shared" ca="1" si="98"/>
        <v/>
      </c>
      <c r="BE225" s="195"/>
      <c r="BF225" s="196"/>
      <c r="BG225" s="194"/>
      <c r="BH225" s="194"/>
      <c r="BI225" s="194"/>
      <c r="BJ225" s="197"/>
    </row>
    <row r="226" spans="1:62" x14ac:dyDescent="0.25">
      <c r="A226" s="44" t="s">
        <v>405</v>
      </c>
      <c r="B226" s="58" t="s">
        <v>70</v>
      </c>
      <c r="C226" s="45"/>
      <c r="D226" s="55" t="s">
        <v>69</v>
      </c>
      <c r="E226" s="45" t="s">
        <v>34</v>
      </c>
      <c r="F226" s="158" t="str">
        <f>J226</f>
        <v>SEM PREÇO</v>
      </c>
      <c r="G226" s="47" t="str">
        <f>J226</f>
        <v>SEM PREÇO</v>
      </c>
      <c r="H226" s="240" t="s">
        <v>2000</v>
      </c>
      <c r="I226" s="240" t="s">
        <v>2001</v>
      </c>
      <c r="J226" s="242" t="str">
        <f>IFERROR(IF(N226&lt;&gt;"",M226,IF(I226 = PARÂMETROS!$B$5,Q226, IF(I226 = PARÂMETROS!$B$6,R226,IF(I226 = PARÂMETROS!$B$7,S226,IF(I226 = PARÂMETROS!$B$8, T226,"DEFINIR CRITÉRIO"))))),"SEM PREÇO")</f>
        <v>SEM PREÇO</v>
      </c>
      <c r="K226" s="241">
        <f t="shared" si="87"/>
        <v>0</v>
      </c>
      <c r="L226" s="238" t="str">
        <f t="shared" si="88"/>
        <v/>
      </c>
      <c r="M226" s="51" t="e">
        <f>VLOOKUP(N226,#REF!,4,FALSE)</f>
        <v>#REF!</v>
      </c>
      <c r="N226" s="52">
        <v>4718</v>
      </c>
      <c r="O226" s="53" t="s">
        <v>404</v>
      </c>
      <c r="P226" s="235">
        <f t="shared" si="89"/>
        <v>0</v>
      </c>
      <c r="Q226" s="236">
        <f t="shared" si="90"/>
        <v>0</v>
      </c>
      <c r="R226" s="236">
        <f t="shared" si="91"/>
        <v>0</v>
      </c>
      <c r="S226" s="236">
        <f t="shared" si="92"/>
        <v>0</v>
      </c>
      <c r="T226" s="236">
        <f t="shared" si="93"/>
        <v>0</v>
      </c>
      <c r="U226" s="237" t="str">
        <f>IF(AA226 = "", "", IF(OR($H226 = PARÂMETROS!$E$5, $H226 = ""), AA226, IF(OR(AA226 &lt; (1-VLOOKUP($H226,PARÂMETROS!$E:$F,2,FALSE))*$P226, AA226 &gt; (1+VLOOKUP($H226,PARÂMETROS!$E:$F,2,FALSE))*$P226),"",AA226)))</f>
        <v/>
      </c>
      <c r="V226" s="237" t="str">
        <f>IF(AG226 = "", "", IF(OR($H226 = PARÂMETROS!$E$5, $H226 = ""), AG226, IF(OR(AG226 &lt; (1-VLOOKUP($H226,PARÂMETROS!$E:$F,2,FALSE))*$P231, AG226 &gt; (1+VLOOKUP($H226,PARÂMETROS!$E:$F,2,FALSE))*$P226),"",AG226)))</f>
        <v/>
      </c>
      <c r="W226" s="237" t="str">
        <f>IF(AM226 = "", "", IF(OR($H226 = PARÂMETROS!$E$5, $H226 = ""), AM226, IF(OR(AM226 &lt; (1-VLOOKUP($H226,PARÂMETROS!$E:$F,2,FALSE))*$P226, AM226 &gt; (1+VLOOKUP($H226,PARÂMETROS!$E:$F,2,FALSE))*$P226),"",AM226)))</f>
        <v/>
      </c>
      <c r="X226" s="237" t="str">
        <f>IF(AS226 = "", "", IF(OR($H226 = PARÂMETROS!$E$5, $H226 = ""), AS226, IF(OR(AS226 &lt; (1-VLOOKUP($H226,PARÂMETROS!$E:$F,2,FALSE))*$P226, AS226 &gt; (1+VLOOKUP($H226,PARÂMETROS!$E:$F,2,FALSE))*$P226),"",AS226)))</f>
        <v/>
      </c>
      <c r="Y226" s="237" t="str">
        <f>IF(AY226 = "", "", IF(OR($H226 = PARÂMETROS!$E$5, $H226 = ""), AY226, IF(OR(AY226 &lt; (1-VLOOKUP($H226,PARÂMETROS!$E:$F,2,FALSE))*$P226, AY226 &gt; (1+VLOOKUP($H226,PARÂMETROS!$E:$F,2,FALSE))*$P226),"",AY226)))</f>
        <v/>
      </c>
      <c r="Z226" s="237" t="str">
        <f>IF(BE226 = "", "", IF(OR($H226 = PARÂMETROS!$E$5, $H226 = ""), BE226, IF(OR(BE226 &lt; (1-VLOOKUP($H226,PARÂMETROS!$E:$F,2,FALSE))*$P226, BE226 &gt; (1+VLOOKUP($H226,PARÂMETROS!$E:$F,2,FALSE))*$P226),"",BE226)))</f>
        <v/>
      </c>
      <c r="AA226" s="207"/>
      <c r="AB226" s="208"/>
      <c r="AC226" s="206"/>
      <c r="AD226" s="217"/>
      <c r="AE226" s="218"/>
      <c r="AF226" s="220" t="str">
        <f t="shared" ca="1" si="94"/>
        <v/>
      </c>
      <c r="AG226" s="229"/>
      <c r="AH226" s="231"/>
      <c r="AI226" s="206"/>
      <c r="AJ226" s="217"/>
      <c r="AK226" s="218"/>
      <c r="AL226" s="220" t="str">
        <f t="shared" ca="1" si="95"/>
        <v/>
      </c>
      <c r="AM226" s="229"/>
      <c r="AN226" s="231"/>
      <c r="AO226" s="206"/>
      <c r="AP226" s="217"/>
      <c r="AQ226" s="218"/>
      <c r="AR226" s="220" t="str">
        <f t="shared" ca="1" si="96"/>
        <v/>
      </c>
      <c r="AS226" s="229"/>
      <c r="AT226" s="231"/>
      <c r="AU226" s="194"/>
      <c r="AV226" s="217"/>
      <c r="AW226" s="218"/>
      <c r="AX226" s="220" t="str">
        <f t="shared" ca="1" si="97"/>
        <v/>
      </c>
      <c r="AY226" s="195"/>
      <c r="AZ226" s="196"/>
      <c r="BA226" s="209" t="str">
        <f>IF(AND(OR(AY226="",AY226=0),OR(AY226="",AZ226=0)),"",IF(OR(AY226="",AY226=0),"DEFINIR PREÇO",IF(OR(AZ226="",AZ226=0),"DEFINIR FORNECEDOR",IF(OR(AY226&lt;&gt;"",AY226&lt;&gt;0),VLOOKUP(AZ226,#REF!,2,FALSE)))))</f>
        <v/>
      </c>
      <c r="BB226" s="194"/>
      <c r="BC226" s="194"/>
      <c r="BD226" s="220" t="str">
        <f t="shared" ca="1" si="98"/>
        <v/>
      </c>
      <c r="BE226" s="195"/>
      <c r="BF226" s="196"/>
      <c r="BG226" s="194"/>
      <c r="BH226" s="194"/>
      <c r="BI226" s="194"/>
      <c r="BJ226" s="197"/>
    </row>
    <row r="227" spans="1:62" x14ac:dyDescent="0.25">
      <c r="A227" s="44" t="s">
        <v>405</v>
      </c>
      <c r="B227" s="58" t="s">
        <v>92</v>
      </c>
      <c r="C227" s="45"/>
      <c r="D227" s="55" t="s">
        <v>90</v>
      </c>
      <c r="E227" s="45" t="s">
        <v>34</v>
      </c>
      <c r="F227" s="158" t="str">
        <f t="shared" ref="F227:F238" si="99">J227</f>
        <v>SEM PREÇO</v>
      </c>
      <c r="G227" s="47" t="str">
        <f t="shared" ref="G227:G238" si="100">J227</f>
        <v>SEM PREÇO</v>
      </c>
      <c r="H227" s="240" t="s">
        <v>2000</v>
      </c>
      <c r="I227" s="240" t="s">
        <v>2001</v>
      </c>
      <c r="J227" s="242" t="str">
        <f>IFERROR(IF(N227&lt;&gt;"",M227,IF(I227 = PARÂMETROS!$B$5,Q227, IF(I227 = PARÂMETROS!$B$6,R227,IF(I227 = PARÂMETROS!$B$7,S227,IF(I227 = PARÂMETROS!$B$8, T227,"DEFINIR CRITÉRIO"))))),"SEM PREÇO")</f>
        <v>SEM PREÇO</v>
      </c>
      <c r="K227" s="241">
        <f t="shared" si="87"/>
        <v>0</v>
      </c>
      <c r="L227" s="238" t="str">
        <f t="shared" si="88"/>
        <v/>
      </c>
      <c r="M227" s="51" t="e">
        <f>VLOOKUP(N227,#REF!,4,FALSE)</f>
        <v>#REF!</v>
      </c>
      <c r="N227" s="52">
        <v>4722</v>
      </c>
      <c r="O227" s="53" t="s">
        <v>404</v>
      </c>
      <c r="P227" s="235">
        <f t="shared" si="89"/>
        <v>0</v>
      </c>
      <c r="Q227" s="236">
        <f t="shared" si="90"/>
        <v>0</v>
      </c>
      <c r="R227" s="236">
        <f t="shared" si="91"/>
        <v>0</v>
      </c>
      <c r="S227" s="236">
        <f t="shared" si="92"/>
        <v>0</v>
      </c>
      <c r="T227" s="236">
        <f t="shared" si="93"/>
        <v>0</v>
      </c>
      <c r="U227" s="237" t="str">
        <f>IF(AA227 = "", "", IF(OR($H227 = PARÂMETROS!$E$5, $H227 = ""), AA227, IF(OR(AA227 &lt; (1-VLOOKUP($H227,PARÂMETROS!$E:$F,2,FALSE))*$P227, AA227 &gt; (1+VLOOKUP($H227,PARÂMETROS!$E:$F,2,FALSE))*$P227),"",AA227)))</f>
        <v/>
      </c>
      <c r="V227" s="237" t="str">
        <f>IF(AG227 = "", "", IF(OR($H227 = PARÂMETROS!$E$5, $H227 = ""), AG227, IF(OR(AG227 &lt; (1-VLOOKUP($H227,PARÂMETROS!$E:$F,2,FALSE))*$P232, AG227 &gt; (1+VLOOKUP($H227,PARÂMETROS!$E:$F,2,FALSE))*$P227),"",AG227)))</f>
        <v/>
      </c>
      <c r="W227" s="237" t="str">
        <f>IF(AM227 = "", "", IF(OR($H227 = PARÂMETROS!$E$5, $H227 = ""), AM227, IF(OR(AM227 &lt; (1-VLOOKUP($H227,PARÂMETROS!$E:$F,2,FALSE))*$P227, AM227 &gt; (1+VLOOKUP($H227,PARÂMETROS!$E:$F,2,FALSE))*$P227),"",AM227)))</f>
        <v/>
      </c>
      <c r="X227" s="237" t="str">
        <f>IF(AS227 = "", "", IF(OR($H227 = PARÂMETROS!$E$5, $H227 = ""), AS227, IF(OR(AS227 &lt; (1-VLOOKUP($H227,PARÂMETROS!$E:$F,2,FALSE))*$P227, AS227 &gt; (1+VLOOKUP($H227,PARÂMETROS!$E:$F,2,FALSE))*$P227),"",AS227)))</f>
        <v/>
      </c>
      <c r="Y227" s="237" t="str">
        <f>IF(AY227 = "", "", IF(OR($H227 = PARÂMETROS!$E$5, $H227 = ""), AY227, IF(OR(AY227 &lt; (1-VLOOKUP($H227,PARÂMETROS!$E:$F,2,FALSE))*$P227, AY227 &gt; (1+VLOOKUP($H227,PARÂMETROS!$E:$F,2,FALSE))*$P227),"",AY227)))</f>
        <v/>
      </c>
      <c r="Z227" s="237" t="str">
        <f>IF(BE227 = "", "", IF(OR($H227 = PARÂMETROS!$E$5, $H227 = ""), BE227, IF(OR(BE227 &lt; (1-VLOOKUP($H227,PARÂMETROS!$E:$F,2,FALSE))*$P227, BE227 &gt; (1+VLOOKUP($H227,PARÂMETROS!$E:$F,2,FALSE))*$P227),"",BE227)))</f>
        <v/>
      </c>
      <c r="AA227" s="207"/>
      <c r="AB227" s="208"/>
      <c r="AC227" s="206"/>
      <c r="AD227" s="217"/>
      <c r="AE227" s="218"/>
      <c r="AF227" s="220" t="str">
        <f t="shared" ca="1" si="94"/>
        <v/>
      </c>
      <c r="AG227" s="229"/>
      <c r="AH227" s="231"/>
      <c r="AI227" s="206"/>
      <c r="AJ227" s="217"/>
      <c r="AK227" s="218"/>
      <c r="AL227" s="220" t="str">
        <f t="shared" ca="1" si="95"/>
        <v/>
      </c>
      <c r="AM227" s="229"/>
      <c r="AN227" s="231"/>
      <c r="AO227" s="206"/>
      <c r="AP227" s="217"/>
      <c r="AQ227" s="218"/>
      <c r="AR227" s="220" t="str">
        <f t="shared" ca="1" si="96"/>
        <v/>
      </c>
      <c r="AS227" s="229"/>
      <c r="AT227" s="231"/>
      <c r="AU227" s="194"/>
      <c r="AV227" s="217"/>
      <c r="AW227" s="218"/>
      <c r="AX227" s="220" t="str">
        <f t="shared" ca="1" si="97"/>
        <v/>
      </c>
      <c r="AY227" s="195"/>
      <c r="AZ227" s="196"/>
      <c r="BA227" s="209" t="str">
        <f>IF(AND(OR(AY227="",AY227=0),OR(AY227="",AZ227=0)),"",IF(OR(AY227="",AY227=0),"DEFINIR PREÇO",IF(OR(AZ227="",AZ227=0),"DEFINIR FORNECEDOR",IF(OR(AY227&lt;&gt;"",AY227&lt;&gt;0),VLOOKUP(AZ227,#REF!,2,FALSE)))))</f>
        <v/>
      </c>
      <c r="BB227" s="194"/>
      <c r="BC227" s="194"/>
      <c r="BD227" s="220" t="str">
        <f t="shared" ca="1" si="98"/>
        <v/>
      </c>
      <c r="BE227" s="195"/>
      <c r="BF227" s="196"/>
      <c r="BG227" s="194"/>
      <c r="BH227" s="194"/>
      <c r="BI227" s="194"/>
      <c r="BJ227" s="197"/>
    </row>
    <row r="228" spans="1:62" x14ac:dyDescent="0.25">
      <c r="A228" s="44" t="s">
        <v>405</v>
      </c>
      <c r="B228" s="58" t="s">
        <v>112</v>
      </c>
      <c r="C228" s="45"/>
      <c r="D228" s="55" t="s">
        <v>101</v>
      </c>
      <c r="E228" s="45" t="s">
        <v>34</v>
      </c>
      <c r="F228" s="46" t="str">
        <f t="shared" si="99"/>
        <v>SEM PREÇO</v>
      </c>
      <c r="G228" s="47" t="str">
        <f t="shared" si="100"/>
        <v>SEM PREÇO</v>
      </c>
      <c r="H228" s="240" t="s">
        <v>2000</v>
      </c>
      <c r="I228" s="240" t="s">
        <v>2001</v>
      </c>
      <c r="J228" s="242" t="str">
        <f>IFERROR(IF(N228&lt;&gt;"",M228,IF(I228 = PARÂMETROS!$B$5,Q228, IF(I228 = PARÂMETROS!$B$6,R228,IF(I228 = PARÂMETROS!$B$7,S228,IF(I228 = PARÂMETROS!$B$8, T228,"DEFINIR CRITÉRIO"))))),"SEM PREÇO")</f>
        <v>SEM PREÇO</v>
      </c>
      <c r="K228" s="241">
        <f t="shared" si="87"/>
        <v>0</v>
      </c>
      <c r="L228" s="238" t="str">
        <f t="shared" si="88"/>
        <v/>
      </c>
      <c r="M228" s="51" t="e">
        <f>VLOOKUP(N228,#REF!,4,FALSE)</f>
        <v>#REF!</v>
      </c>
      <c r="N228" s="52">
        <v>4723</v>
      </c>
      <c r="O228" s="53" t="s">
        <v>404</v>
      </c>
      <c r="P228" s="235">
        <f t="shared" si="89"/>
        <v>0</v>
      </c>
      <c r="Q228" s="236">
        <f t="shared" si="90"/>
        <v>0</v>
      </c>
      <c r="R228" s="236">
        <f t="shared" si="91"/>
        <v>0</v>
      </c>
      <c r="S228" s="236">
        <f t="shared" si="92"/>
        <v>0</v>
      </c>
      <c r="T228" s="236">
        <f t="shared" si="93"/>
        <v>0</v>
      </c>
      <c r="U228" s="237" t="str">
        <f>IF(AA228 = "", "", IF(OR($H228 = PARÂMETROS!$E$5, $H228 = ""), AA228, IF(OR(AA228 &lt; (1-VLOOKUP($H228,PARÂMETROS!$E:$F,2,FALSE))*$P228, AA228 &gt; (1+VLOOKUP($H228,PARÂMETROS!$E:$F,2,FALSE))*$P228),"",AA228)))</f>
        <v/>
      </c>
      <c r="V228" s="237" t="str">
        <f>IF(AG228 = "", "", IF(OR($H228 = PARÂMETROS!$E$5, $H228 = ""), AG228, IF(OR(AG228 &lt; (1-VLOOKUP($H228,PARÂMETROS!$E:$F,2,FALSE))*$P233, AG228 &gt; (1+VLOOKUP($H228,PARÂMETROS!$E:$F,2,FALSE))*$P228),"",AG228)))</f>
        <v/>
      </c>
      <c r="W228" s="237" t="str">
        <f>IF(AM228 = "", "", IF(OR($H228 = PARÂMETROS!$E$5, $H228 = ""), AM228, IF(OR(AM228 &lt; (1-VLOOKUP($H228,PARÂMETROS!$E:$F,2,FALSE))*$P228, AM228 &gt; (1+VLOOKUP($H228,PARÂMETROS!$E:$F,2,FALSE))*$P228),"",AM228)))</f>
        <v/>
      </c>
      <c r="X228" s="237" t="str">
        <f>IF(AS228 = "", "", IF(OR($H228 = PARÂMETROS!$E$5, $H228 = ""), AS228, IF(OR(AS228 &lt; (1-VLOOKUP($H228,PARÂMETROS!$E:$F,2,FALSE))*$P228, AS228 &gt; (1+VLOOKUP($H228,PARÂMETROS!$E:$F,2,FALSE))*$P228),"",AS228)))</f>
        <v/>
      </c>
      <c r="Y228" s="237" t="str">
        <f>IF(AY228 = "", "", IF(OR($H228 = PARÂMETROS!$E$5, $H228 = ""), AY228, IF(OR(AY228 &lt; (1-VLOOKUP($H228,PARÂMETROS!$E:$F,2,FALSE))*$P228, AY228 &gt; (1+VLOOKUP($H228,PARÂMETROS!$E:$F,2,FALSE))*$P228),"",AY228)))</f>
        <v/>
      </c>
      <c r="Z228" s="237" t="str">
        <f>IF(BE228 = "", "", IF(OR($H228 = PARÂMETROS!$E$5, $H228 = ""), BE228, IF(OR(BE228 &lt; (1-VLOOKUP($H228,PARÂMETROS!$E:$F,2,FALSE))*$P228, BE228 &gt; (1+VLOOKUP($H228,PARÂMETROS!$E:$F,2,FALSE))*$P228),"",BE228)))</f>
        <v/>
      </c>
      <c r="AA228" s="207"/>
      <c r="AB228" s="208"/>
      <c r="AC228" s="206"/>
      <c r="AD228" s="217"/>
      <c r="AE228" s="218"/>
      <c r="AF228" s="220" t="str">
        <f t="shared" ca="1" si="94"/>
        <v/>
      </c>
      <c r="AG228" s="229"/>
      <c r="AH228" s="231"/>
      <c r="AI228" s="206"/>
      <c r="AJ228" s="217"/>
      <c r="AK228" s="218"/>
      <c r="AL228" s="220" t="str">
        <f t="shared" ca="1" si="95"/>
        <v/>
      </c>
      <c r="AM228" s="229"/>
      <c r="AN228" s="231"/>
      <c r="AO228" s="206"/>
      <c r="AP228" s="217"/>
      <c r="AQ228" s="218"/>
      <c r="AR228" s="220" t="str">
        <f t="shared" ca="1" si="96"/>
        <v/>
      </c>
      <c r="AS228" s="229"/>
      <c r="AT228" s="231"/>
      <c r="AU228" s="194"/>
      <c r="AV228" s="217"/>
      <c r="AW228" s="218"/>
      <c r="AX228" s="220" t="str">
        <f t="shared" ca="1" si="97"/>
        <v/>
      </c>
      <c r="AY228" s="195"/>
      <c r="AZ228" s="196"/>
      <c r="BA228" s="209" t="str">
        <f>IF(AND(OR(AY228="",AY228=0),OR(AY228="",AZ228=0)),"",IF(OR(AY228="",AY228=0),"DEFINIR PREÇO",IF(OR(AZ228="",AZ228=0),"DEFINIR FORNECEDOR",IF(OR(AY228&lt;&gt;"",AY228&lt;&gt;0),VLOOKUP(AZ228,#REF!,2,FALSE)))))</f>
        <v/>
      </c>
      <c r="BB228" s="194"/>
      <c r="BC228" s="194"/>
      <c r="BD228" s="220" t="str">
        <f t="shared" ca="1" si="98"/>
        <v/>
      </c>
      <c r="BE228" s="195"/>
      <c r="BF228" s="196"/>
      <c r="BG228" s="194"/>
      <c r="BH228" s="194"/>
      <c r="BI228" s="194"/>
      <c r="BJ228" s="197"/>
    </row>
    <row r="229" spans="1:62" x14ac:dyDescent="0.25">
      <c r="A229" s="44" t="s">
        <v>405</v>
      </c>
      <c r="B229" s="58" t="s">
        <v>91</v>
      </c>
      <c r="C229" s="45"/>
      <c r="D229" s="55" t="s">
        <v>87</v>
      </c>
      <c r="E229" s="45" t="s">
        <v>34</v>
      </c>
      <c r="F229" s="46" t="str">
        <f t="shared" si="99"/>
        <v>SEM PREÇO</v>
      </c>
      <c r="G229" s="47" t="str">
        <f t="shared" si="100"/>
        <v>SEM PREÇO</v>
      </c>
      <c r="H229" s="240" t="s">
        <v>2000</v>
      </c>
      <c r="I229" s="240" t="s">
        <v>2001</v>
      </c>
      <c r="J229" s="242" t="str">
        <f>IFERROR(IF(N229&lt;&gt;"",M229,IF(I229 = PARÂMETROS!$B$5,Q229, IF(I229 = PARÂMETROS!$B$6,R229,IF(I229 = PARÂMETROS!$B$7,S229,IF(I229 = PARÂMETROS!$B$8, T229,"DEFINIR CRITÉRIO"))))),"SEM PREÇO")</f>
        <v>SEM PREÇO</v>
      </c>
      <c r="K229" s="241">
        <f t="shared" si="87"/>
        <v>0</v>
      </c>
      <c r="L229" s="238" t="str">
        <f t="shared" si="88"/>
        <v/>
      </c>
      <c r="M229" s="51" t="e">
        <f>VLOOKUP(N229,#REF!,4,FALSE)</f>
        <v>#REF!</v>
      </c>
      <c r="N229" s="52">
        <v>4730</v>
      </c>
      <c r="O229" s="53" t="s">
        <v>404</v>
      </c>
      <c r="P229" s="235">
        <f t="shared" si="89"/>
        <v>0</v>
      </c>
      <c r="Q229" s="236">
        <f t="shared" si="90"/>
        <v>0</v>
      </c>
      <c r="R229" s="236">
        <f t="shared" si="91"/>
        <v>0</v>
      </c>
      <c r="S229" s="236">
        <f t="shared" si="92"/>
        <v>0</v>
      </c>
      <c r="T229" s="236">
        <f t="shared" si="93"/>
        <v>0</v>
      </c>
      <c r="U229" s="237" t="str">
        <f>IF(AA229 = "", "", IF(OR($H229 = PARÂMETROS!$E$5, $H229 = ""), AA229, IF(OR(AA229 &lt; (1-VLOOKUP($H229,PARÂMETROS!$E:$F,2,FALSE))*$P229, AA229 &gt; (1+VLOOKUP($H229,PARÂMETROS!$E:$F,2,FALSE))*$P229),"",AA229)))</f>
        <v/>
      </c>
      <c r="V229" s="237" t="str">
        <f>IF(AG229 = "", "", IF(OR($H229 = PARÂMETROS!$E$5, $H229 = ""), AG229, IF(OR(AG229 &lt; (1-VLOOKUP($H229,PARÂMETROS!$E:$F,2,FALSE))*$P234, AG229 &gt; (1+VLOOKUP($H229,PARÂMETROS!$E:$F,2,FALSE))*$P229),"",AG229)))</f>
        <v/>
      </c>
      <c r="W229" s="237" t="str">
        <f>IF(AM229 = "", "", IF(OR($H229 = PARÂMETROS!$E$5, $H229 = ""), AM229, IF(OR(AM229 &lt; (1-VLOOKUP($H229,PARÂMETROS!$E:$F,2,FALSE))*$P229, AM229 &gt; (1+VLOOKUP($H229,PARÂMETROS!$E:$F,2,FALSE))*$P229),"",AM229)))</f>
        <v/>
      </c>
      <c r="X229" s="237" t="str">
        <f>IF(AS229 = "", "", IF(OR($H229 = PARÂMETROS!$E$5, $H229 = ""), AS229, IF(OR(AS229 &lt; (1-VLOOKUP($H229,PARÂMETROS!$E:$F,2,FALSE))*$P229, AS229 &gt; (1+VLOOKUP($H229,PARÂMETROS!$E:$F,2,FALSE))*$P229),"",AS229)))</f>
        <v/>
      </c>
      <c r="Y229" s="237" t="str">
        <f>IF(AY229 = "", "", IF(OR($H229 = PARÂMETROS!$E$5, $H229 = ""), AY229, IF(OR(AY229 &lt; (1-VLOOKUP($H229,PARÂMETROS!$E:$F,2,FALSE))*$P229, AY229 &gt; (1+VLOOKUP($H229,PARÂMETROS!$E:$F,2,FALSE))*$P229),"",AY229)))</f>
        <v/>
      </c>
      <c r="Z229" s="237" t="str">
        <f>IF(BE229 = "", "", IF(OR($H229 = PARÂMETROS!$E$5, $H229 = ""), BE229, IF(OR(BE229 &lt; (1-VLOOKUP($H229,PARÂMETROS!$E:$F,2,FALSE))*$P229, BE229 &gt; (1+VLOOKUP($H229,PARÂMETROS!$E:$F,2,FALSE))*$P229),"",BE229)))</f>
        <v/>
      </c>
      <c r="AA229" s="207"/>
      <c r="AB229" s="208"/>
      <c r="AC229" s="206"/>
      <c r="AD229" s="217"/>
      <c r="AE229" s="218"/>
      <c r="AF229" s="220" t="str">
        <f t="shared" ca="1" si="94"/>
        <v/>
      </c>
      <c r="AG229" s="229"/>
      <c r="AH229" s="231"/>
      <c r="AI229" s="206"/>
      <c r="AJ229" s="217"/>
      <c r="AK229" s="218"/>
      <c r="AL229" s="220" t="str">
        <f t="shared" ca="1" si="95"/>
        <v/>
      </c>
      <c r="AM229" s="229"/>
      <c r="AN229" s="231"/>
      <c r="AO229" s="206"/>
      <c r="AP229" s="217"/>
      <c r="AQ229" s="218"/>
      <c r="AR229" s="220" t="str">
        <f t="shared" ca="1" si="96"/>
        <v/>
      </c>
      <c r="AS229" s="229"/>
      <c r="AT229" s="231"/>
      <c r="AU229" s="194"/>
      <c r="AV229" s="217"/>
      <c r="AW229" s="218"/>
      <c r="AX229" s="220" t="str">
        <f t="shared" ca="1" si="97"/>
        <v/>
      </c>
      <c r="AY229" s="195"/>
      <c r="AZ229" s="196"/>
      <c r="BA229" s="209" t="str">
        <f>IF(AND(OR(AY229="",AY229=0),OR(AY229="",AZ229=0)),"",IF(OR(AY229="",AY229=0),"DEFINIR PREÇO",IF(OR(AZ229="",AZ229=0),"DEFINIR FORNECEDOR",IF(OR(AY229&lt;&gt;"",AY229&lt;&gt;0),VLOOKUP(AZ229,#REF!,2,FALSE)))))</f>
        <v/>
      </c>
      <c r="BB229" s="194"/>
      <c r="BC229" s="194"/>
      <c r="BD229" s="220" t="str">
        <f t="shared" ca="1" si="98"/>
        <v/>
      </c>
      <c r="BE229" s="195"/>
      <c r="BF229" s="196"/>
      <c r="BG229" s="194"/>
      <c r="BH229" s="194"/>
      <c r="BI229" s="194"/>
      <c r="BJ229" s="197"/>
    </row>
    <row r="230" spans="1:62" x14ac:dyDescent="0.25">
      <c r="A230" s="44" t="s">
        <v>405</v>
      </c>
      <c r="B230" s="58" t="s">
        <v>96</v>
      </c>
      <c r="C230" s="45"/>
      <c r="D230" s="55" t="s">
        <v>64</v>
      </c>
      <c r="E230" s="45" t="s">
        <v>34</v>
      </c>
      <c r="F230" s="46" t="str">
        <f t="shared" si="99"/>
        <v>SEM PREÇO</v>
      </c>
      <c r="G230" s="47" t="str">
        <f t="shared" si="100"/>
        <v>SEM PREÇO</v>
      </c>
      <c r="H230" s="240" t="s">
        <v>2000</v>
      </c>
      <c r="I230" s="240" t="s">
        <v>2001</v>
      </c>
      <c r="J230" s="242" t="str">
        <f>IFERROR(IF(N230&lt;&gt;"",M230,IF(I230 = PARÂMETROS!$B$5,Q230, IF(I230 = PARÂMETROS!$B$6,R230,IF(I230 = PARÂMETROS!$B$7,S230,IF(I230 = PARÂMETROS!$B$8, T230,"DEFINIR CRITÉRIO"))))),"SEM PREÇO")</f>
        <v>SEM PREÇO</v>
      </c>
      <c r="K230" s="241">
        <f t="shared" si="87"/>
        <v>0</v>
      </c>
      <c r="L230" s="238" t="str">
        <f t="shared" si="88"/>
        <v/>
      </c>
      <c r="M230" s="51" t="e">
        <f>VLOOKUP(N230,#REF!,4,FALSE)</f>
        <v>#REF!</v>
      </c>
      <c r="N230" s="52">
        <v>4741</v>
      </c>
      <c r="O230" s="53" t="s">
        <v>404</v>
      </c>
      <c r="P230" s="235">
        <f t="shared" si="89"/>
        <v>0</v>
      </c>
      <c r="Q230" s="236">
        <f t="shared" si="90"/>
        <v>0</v>
      </c>
      <c r="R230" s="236">
        <f t="shared" si="91"/>
        <v>0</v>
      </c>
      <c r="S230" s="236">
        <f t="shared" si="92"/>
        <v>0</v>
      </c>
      <c r="T230" s="236">
        <f t="shared" si="93"/>
        <v>0</v>
      </c>
      <c r="U230" s="237" t="str">
        <f>IF(AA230 = "", "", IF(OR($H230 = PARÂMETROS!$E$5, $H230 = ""), AA230, IF(OR(AA230 &lt; (1-VLOOKUP($H230,PARÂMETROS!$E:$F,2,FALSE))*$P230, AA230 &gt; (1+VLOOKUP($H230,PARÂMETROS!$E:$F,2,FALSE))*$P230),"",AA230)))</f>
        <v/>
      </c>
      <c r="V230" s="237" t="str">
        <f>IF(AG230 = "", "", IF(OR($H230 = PARÂMETROS!$E$5, $H230 = ""), AG230, IF(OR(AG230 &lt; (1-VLOOKUP($H230,PARÂMETROS!$E:$F,2,FALSE))*$P235, AG230 &gt; (1+VLOOKUP($H230,PARÂMETROS!$E:$F,2,FALSE))*$P230),"",AG230)))</f>
        <v/>
      </c>
      <c r="W230" s="237" t="str">
        <f>IF(AM230 = "", "", IF(OR($H230 = PARÂMETROS!$E$5, $H230 = ""), AM230, IF(OR(AM230 &lt; (1-VLOOKUP($H230,PARÂMETROS!$E:$F,2,FALSE))*$P230, AM230 &gt; (1+VLOOKUP($H230,PARÂMETROS!$E:$F,2,FALSE))*$P230),"",AM230)))</f>
        <v/>
      </c>
      <c r="X230" s="237" t="str">
        <f>IF(AS230 = "", "", IF(OR($H230 = PARÂMETROS!$E$5, $H230 = ""), AS230, IF(OR(AS230 &lt; (1-VLOOKUP($H230,PARÂMETROS!$E:$F,2,FALSE))*$P230, AS230 &gt; (1+VLOOKUP($H230,PARÂMETROS!$E:$F,2,FALSE))*$P230),"",AS230)))</f>
        <v/>
      </c>
      <c r="Y230" s="237" t="str">
        <f>IF(AY230 = "", "", IF(OR($H230 = PARÂMETROS!$E$5, $H230 = ""), AY230, IF(OR(AY230 &lt; (1-VLOOKUP($H230,PARÂMETROS!$E:$F,2,FALSE))*$P230, AY230 &gt; (1+VLOOKUP($H230,PARÂMETROS!$E:$F,2,FALSE))*$P230),"",AY230)))</f>
        <v/>
      </c>
      <c r="Z230" s="237" t="str">
        <f>IF(BE230 = "", "", IF(OR($H230 = PARÂMETROS!$E$5, $H230 = ""), BE230, IF(OR(BE230 &lt; (1-VLOOKUP($H230,PARÂMETROS!$E:$F,2,FALSE))*$P230, BE230 &gt; (1+VLOOKUP($H230,PARÂMETROS!$E:$F,2,FALSE))*$P230),"",BE230)))</f>
        <v/>
      </c>
      <c r="AA230" s="207"/>
      <c r="AB230" s="208"/>
      <c r="AC230" s="206"/>
      <c r="AD230" s="217"/>
      <c r="AE230" s="218"/>
      <c r="AF230" s="220" t="str">
        <f t="shared" ca="1" si="94"/>
        <v/>
      </c>
      <c r="AG230" s="229"/>
      <c r="AH230" s="231"/>
      <c r="AI230" s="206"/>
      <c r="AJ230" s="217"/>
      <c r="AK230" s="218"/>
      <c r="AL230" s="220" t="str">
        <f t="shared" ca="1" si="95"/>
        <v/>
      </c>
      <c r="AM230" s="229"/>
      <c r="AN230" s="231"/>
      <c r="AO230" s="206"/>
      <c r="AP230" s="217"/>
      <c r="AQ230" s="218"/>
      <c r="AR230" s="220" t="str">
        <f t="shared" ca="1" si="96"/>
        <v/>
      </c>
      <c r="AS230" s="229"/>
      <c r="AT230" s="231"/>
      <c r="AU230" s="194"/>
      <c r="AV230" s="217"/>
      <c r="AW230" s="218"/>
      <c r="AX230" s="220" t="str">
        <f t="shared" ca="1" si="97"/>
        <v/>
      </c>
      <c r="AY230" s="195"/>
      <c r="AZ230" s="196"/>
      <c r="BA230" s="209" t="str">
        <f>IF(AND(OR(AY230="",AY230=0),OR(AY230="",AZ230=0)),"",IF(OR(AY230="",AY230=0),"DEFINIR PREÇO",IF(OR(AZ230="",AZ230=0),"DEFINIR FORNECEDOR",IF(OR(AY230&lt;&gt;"",AY230&lt;&gt;0),VLOOKUP(AZ230,#REF!,2,FALSE)))))</f>
        <v/>
      </c>
      <c r="BB230" s="194"/>
      <c r="BC230" s="194"/>
      <c r="BD230" s="220" t="str">
        <f t="shared" ca="1" si="98"/>
        <v/>
      </c>
      <c r="BE230" s="195"/>
      <c r="BF230" s="196"/>
      <c r="BG230" s="194"/>
      <c r="BH230" s="194"/>
      <c r="BI230" s="194"/>
      <c r="BJ230" s="197"/>
    </row>
    <row r="231" spans="1:62" x14ac:dyDescent="0.25">
      <c r="A231" s="44" t="s">
        <v>405</v>
      </c>
      <c r="B231" s="58" t="s">
        <v>125</v>
      </c>
      <c r="C231" s="45"/>
      <c r="D231" s="55" t="s">
        <v>121</v>
      </c>
      <c r="E231" s="45" t="s">
        <v>34</v>
      </c>
      <c r="F231" s="46" t="str">
        <f t="shared" si="99"/>
        <v>SEM PREÇO</v>
      </c>
      <c r="G231" s="47" t="str">
        <f t="shared" si="100"/>
        <v>SEM PREÇO</v>
      </c>
      <c r="H231" s="240" t="s">
        <v>2000</v>
      </c>
      <c r="I231" s="240" t="s">
        <v>2001</v>
      </c>
      <c r="J231" s="242" t="str">
        <f>IFERROR(IF(N231&lt;&gt;"",M231,IF(I231 = PARÂMETROS!$B$5,Q231, IF(I231 = PARÂMETROS!$B$6,R231,IF(I231 = PARÂMETROS!$B$7,S231,IF(I231 = PARÂMETROS!$B$8, T231,"DEFINIR CRITÉRIO"))))),"SEM PREÇO")</f>
        <v>SEM PREÇO</v>
      </c>
      <c r="K231" s="241">
        <f t="shared" si="87"/>
        <v>0</v>
      </c>
      <c r="L231" s="238" t="str">
        <f t="shared" si="88"/>
        <v/>
      </c>
      <c r="M231" s="180" t="e">
        <f>VLOOKUP(N231,#REF!,4,FALSE)</f>
        <v>#REF!</v>
      </c>
      <c r="N231" s="52">
        <v>4720</v>
      </c>
      <c r="O231" s="53" t="s">
        <v>404</v>
      </c>
      <c r="P231" s="235">
        <f t="shared" si="89"/>
        <v>0</v>
      </c>
      <c r="Q231" s="236">
        <f t="shared" si="90"/>
        <v>0</v>
      </c>
      <c r="R231" s="236">
        <f t="shared" si="91"/>
        <v>0</v>
      </c>
      <c r="S231" s="236">
        <f t="shared" si="92"/>
        <v>0</v>
      </c>
      <c r="T231" s="236">
        <f t="shared" si="93"/>
        <v>0</v>
      </c>
      <c r="U231" s="237" t="str">
        <f>IF(AA231 = "", "", IF(OR($H231 = PARÂMETROS!$E$5, $H231 = ""), AA231, IF(OR(AA231 &lt; (1-VLOOKUP($H231,PARÂMETROS!$E:$F,2,FALSE))*$P231, AA231 &gt; (1+VLOOKUP($H231,PARÂMETROS!$E:$F,2,FALSE))*$P231),"",AA231)))</f>
        <v/>
      </c>
      <c r="V231" s="237" t="str">
        <f>IF(AG231 = "", "", IF(OR($H231 = PARÂMETROS!$E$5, $H231 = ""), AG231, IF(OR(AG231 &lt; (1-VLOOKUP($H231,PARÂMETROS!$E:$F,2,FALSE))*$P236, AG231 &gt; (1+VLOOKUP($H231,PARÂMETROS!$E:$F,2,FALSE))*$P231),"",AG231)))</f>
        <v/>
      </c>
      <c r="W231" s="237" t="str">
        <f>IF(AM231 = "", "", IF(OR($H231 = PARÂMETROS!$E$5, $H231 = ""), AM231, IF(OR(AM231 &lt; (1-VLOOKUP($H231,PARÂMETROS!$E:$F,2,FALSE))*$P231, AM231 &gt; (1+VLOOKUP($H231,PARÂMETROS!$E:$F,2,FALSE))*$P231),"",AM231)))</f>
        <v/>
      </c>
      <c r="X231" s="237" t="str">
        <f>IF(AS231 = "", "", IF(OR($H231 = PARÂMETROS!$E$5, $H231 = ""), AS231, IF(OR(AS231 &lt; (1-VLOOKUP($H231,PARÂMETROS!$E:$F,2,FALSE))*$P231, AS231 &gt; (1+VLOOKUP($H231,PARÂMETROS!$E:$F,2,FALSE))*$P231),"",AS231)))</f>
        <v/>
      </c>
      <c r="Y231" s="237" t="str">
        <f>IF(AY231 = "", "", IF(OR($H231 = PARÂMETROS!$E$5, $H231 = ""), AY231, IF(OR(AY231 &lt; (1-VLOOKUP($H231,PARÂMETROS!$E:$F,2,FALSE))*$P231, AY231 &gt; (1+VLOOKUP($H231,PARÂMETROS!$E:$F,2,FALSE))*$P231),"",AY231)))</f>
        <v/>
      </c>
      <c r="Z231" s="237" t="str">
        <f>IF(BE231 = "", "", IF(OR($H231 = PARÂMETROS!$E$5, $H231 = ""), BE231, IF(OR(BE231 &lt; (1-VLOOKUP($H231,PARÂMETROS!$E:$F,2,FALSE))*$P231, BE231 &gt; (1+VLOOKUP($H231,PARÂMETROS!$E:$F,2,FALSE))*$P231),"",BE231)))</f>
        <v/>
      </c>
      <c r="AA231" s="207"/>
      <c r="AB231" s="208"/>
      <c r="AC231" s="206"/>
      <c r="AD231" s="217"/>
      <c r="AE231" s="218"/>
      <c r="AF231" s="220" t="str">
        <f t="shared" ca="1" si="94"/>
        <v/>
      </c>
      <c r="AG231" s="229"/>
      <c r="AH231" s="231"/>
      <c r="AI231" s="206"/>
      <c r="AJ231" s="217"/>
      <c r="AK231" s="218"/>
      <c r="AL231" s="220" t="str">
        <f t="shared" ca="1" si="95"/>
        <v/>
      </c>
      <c r="AM231" s="229"/>
      <c r="AN231" s="231"/>
      <c r="AO231" s="206"/>
      <c r="AP231" s="217"/>
      <c r="AQ231" s="218"/>
      <c r="AR231" s="220" t="str">
        <f t="shared" ca="1" si="96"/>
        <v/>
      </c>
      <c r="AS231" s="229"/>
      <c r="AT231" s="231"/>
      <c r="AU231" s="194"/>
      <c r="AV231" s="217"/>
      <c r="AW231" s="218"/>
      <c r="AX231" s="220" t="str">
        <f t="shared" ca="1" si="97"/>
        <v/>
      </c>
      <c r="AY231" s="195"/>
      <c r="AZ231" s="196"/>
      <c r="BA231" s="209" t="str">
        <f>IF(AND(OR(AY231="",AY231=0),OR(AY231="",AZ231=0)),"",IF(OR(AY231="",AY231=0),"DEFINIR PREÇO",IF(OR(AZ231="",AZ231=0),"DEFINIR FORNECEDOR",IF(OR(AY231&lt;&gt;"",AY231&lt;&gt;0),VLOOKUP(AZ231,#REF!,2,FALSE)))))</f>
        <v/>
      </c>
      <c r="BB231" s="194"/>
      <c r="BC231" s="194"/>
      <c r="BD231" s="220" t="str">
        <f t="shared" ca="1" si="98"/>
        <v/>
      </c>
      <c r="BE231" s="195"/>
      <c r="BF231" s="196"/>
      <c r="BG231" s="194"/>
      <c r="BH231" s="194"/>
      <c r="BI231" s="194"/>
      <c r="BJ231" s="197"/>
    </row>
    <row r="232" spans="1:62" x14ac:dyDescent="0.25">
      <c r="A232" s="44" t="s">
        <v>405</v>
      </c>
      <c r="B232" s="58" t="s">
        <v>103</v>
      </c>
      <c r="C232" s="45"/>
      <c r="D232" s="55" t="s">
        <v>95</v>
      </c>
      <c r="E232" s="45" t="s">
        <v>29</v>
      </c>
      <c r="F232" s="46" t="str">
        <f t="shared" si="99"/>
        <v>SEM PREÇO</v>
      </c>
      <c r="G232" s="47" t="str">
        <f t="shared" si="100"/>
        <v>SEM PREÇO</v>
      </c>
      <c r="H232" s="240" t="s">
        <v>2000</v>
      </c>
      <c r="I232" s="240" t="s">
        <v>2001</v>
      </c>
      <c r="J232" s="242" t="str">
        <f>IFERROR(IF(N232&lt;&gt;"",M232,IF(I232 = PARÂMETROS!$B$5,Q232, IF(I232 = PARÂMETROS!$B$6,R232,IF(I232 = PARÂMETROS!$B$7,S232,IF(I232 = PARÂMETROS!$B$8, T232,"DEFINIR CRITÉRIO"))))),"SEM PREÇO")</f>
        <v>SEM PREÇO</v>
      </c>
      <c r="K232" s="241">
        <f t="shared" si="87"/>
        <v>0</v>
      </c>
      <c r="L232" s="238" t="str">
        <f t="shared" si="88"/>
        <v/>
      </c>
      <c r="M232" s="51" t="e">
        <f>VLOOKUP(N232,#REF!,4,FALSE)</f>
        <v>#REF!</v>
      </c>
      <c r="N232" s="52">
        <v>4708</v>
      </c>
      <c r="O232" s="53" t="s">
        <v>404</v>
      </c>
      <c r="P232" s="235">
        <f t="shared" si="89"/>
        <v>0</v>
      </c>
      <c r="Q232" s="236">
        <f t="shared" si="90"/>
        <v>0</v>
      </c>
      <c r="R232" s="236">
        <f t="shared" si="91"/>
        <v>0</v>
      </c>
      <c r="S232" s="236">
        <f t="shared" si="92"/>
        <v>0</v>
      </c>
      <c r="T232" s="236">
        <f t="shared" si="93"/>
        <v>0</v>
      </c>
      <c r="U232" s="237" t="str">
        <f>IF(AA232 = "", "", IF(OR($H232 = PARÂMETROS!$E$5, $H232 = ""), AA232, IF(OR(AA232 &lt; (1-VLOOKUP($H232,PARÂMETROS!$E:$F,2,FALSE))*$P232, AA232 &gt; (1+VLOOKUP($H232,PARÂMETROS!$E:$F,2,FALSE))*$P232),"",AA232)))</f>
        <v/>
      </c>
      <c r="V232" s="237" t="str">
        <f>IF(AG232 = "", "", IF(OR($H232 = PARÂMETROS!$E$5, $H232 = ""), AG232, IF(OR(AG232 &lt; (1-VLOOKUP($H232,PARÂMETROS!$E:$F,2,FALSE))*$P237, AG232 &gt; (1+VLOOKUP($H232,PARÂMETROS!$E:$F,2,FALSE))*$P232),"",AG232)))</f>
        <v/>
      </c>
      <c r="W232" s="237" t="str">
        <f>IF(AM232 = "", "", IF(OR($H232 = PARÂMETROS!$E$5, $H232 = ""), AM232, IF(OR(AM232 &lt; (1-VLOOKUP($H232,PARÂMETROS!$E:$F,2,FALSE))*$P232, AM232 &gt; (1+VLOOKUP($H232,PARÂMETROS!$E:$F,2,FALSE))*$P232),"",AM232)))</f>
        <v/>
      </c>
      <c r="X232" s="237" t="str">
        <f>IF(AS232 = "", "", IF(OR($H232 = PARÂMETROS!$E$5, $H232 = ""), AS232, IF(OR(AS232 &lt; (1-VLOOKUP($H232,PARÂMETROS!$E:$F,2,FALSE))*$P232, AS232 &gt; (1+VLOOKUP($H232,PARÂMETROS!$E:$F,2,FALSE))*$P232),"",AS232)))</f>
        <v/>
      </c>
      <c r="Y232" s="237" t="str">
        <f>IF(AY232 = "", "", IF(OR($H232 = PARÂMETROS!$E$5, $H232 = ""), AY232, IF(OR(AY232 &lt; (1-VLOOKUP($H232,PARÂMETROS!$E:$F,2,FALSE))*$P232, AY232 &gt; (1+VLOOKUP($H232,PARÂMETROS!$E:$F,2,FALSE))*$P232),"",AY232)))</f>
        <v/>
      </c>
      <c r="Z232" s="237" t="str">
        <f>IF(BE232 = "", "", IF(OR($H232 = PARÂMETROS!$E$5, $H232 = ""), BE232, IF(OR(BE232 &lt; (1-VLOOKUP($H232,PARÂMETROS!$E:$F,2,FALSE))*$P232, BE232 &gt; (1+VLOOKUP($H232,PARÂMETROS!$E:$F,2,FALSE))*$P232),"",BE232)))</f>
        <v/>
      </c>
      <c r="AA232" s="207"/>
      <c r="AB232" s="208"/>
      <c r="AC232" s="206"/>
      <c r="AD232" s="217"/>
      <c r="AE232" s="218"/>
      <c r="AF232" s="220" t="str">
        <f t="shared" ca="1" si="94"/>
        <v/>
      </c>
      <c r="AG232" s="229"/>
      <c r="AH232" s="231"/>
      <c r="AI232" s="206"/>
      <c r="AJ232" s="217"/>
      <c r="AK232" s="218"/>
      <c r="AL232" s="220" t="str">
        <f t="shared" ca="1" si="95"/>
        <v/>
      </c>
      <c r="AM232" s="229"/>
      <c r="AN232" s="231"/>
      <c r="AO232" s="206"/>
      <c r="AP232" s="217"/>
      <c r="AQ232" s="218"/>
      <c r="AR232" s="220" t="str">
        <f t="shared" ca="1" si="96"/>
        <v/>
      </c>
      <c r="AS232" s="229"/>
      <c r="AT232" s="231"/>
      <c r="AU232" s="194"/>
      <c r="AV232" s="217"/>
      <c r="AW232" s="218"/>
      <c r="AX232" s="220" t="str">
        <f t="shared" ca="1" si="97"/>
        <v/>
      </c>
      <c r="AY232" s="195"/>
      <c r="AZ232" s="196"/>
      <c r="BA232" s="209" t="str">
        <f>IF(AND(OR(AY232="",AY232=0),OR(AY232="",AZ232=0)),"",IF(OR(AY232="",AY232=0),"DEFINIR PREÇO",IF(OR(AZ232="",AZ232=0),"DEFINIR FORNECEDOR",IF(OR(AY232&lt;&gt;"",AY232&lt;&gt;0),VLOOKUP(AZ232,#REF!,2,FALSE)))))</f>
        <v/>
      </c>
      <c r="BB232" s="194"/>
      <c r="BC232" s="194"/>
      <c r="BD232" s="220" t="str">
        <f t="shared" ca="1" si="98"/>
        <v/>
      </c>
      <c r="BE232" s="195"/>
      <c r="BF232" s="196"/>
      <c r="BG232" s="194"/>
      <c r="BH232" s="194"/>
      <c r="BI232" s="194"/>
      <c r="BJ232" s="197"/>
    </row>
    <row r="233" spans="1:62" x14ac:dyDescent="0.25">
      <c r="A233" s="44" t="s">
        <v>405</v>
      </c>
      <c r="B233" s="58" t="s">
        <v>68</v>
      </c>
      <c r="C233" s="45"/>
      <c r="D233" s="55" t="s">
        <v>67</v>
      </c>
      <c r="E233" s="45" t="s">
        <v>34</v>
      </c>
      <c r="F233" s="46" t="str">
        <f t="shared" si="99"/>
        <v>SEM PREÇO</v>
      </c>
      <c r="G233" s="47" t="str">
        <f t="shared" si="100"/>
        <v>SEM PREÇO</v>
      </c>
      <c r="H233" s="240" t="s">
        <v>2000</v>
      </c>
      <c r="I233" s="240" t="s">
        <v>2001</v>
      </c>
      <c r="J233" s="242" t="str">
        <f>IFERROR(IF(N233&lt;&gt;"",M233,IF(I233 = PARÂMETROS!$B$5,Q233, IF(I233 = PARÂMETROS!$B$6,R233,IF(I233 = PARÂMETROS!$B$7,S233,IF(I233 = PARÂMETROS!$B$8, T233,"DEFINIR CRITÉRIO"))))),"SEM PREÇO")</f>
        <v>SEM PREÇO</v>
      </c>
      <c r="K233" s="241">
        <f t="shared" si="87"/>
        <v>0</v>
      </c>
      <c r="L233" s="238" t="str">
        <f t="shared" si="88"/>
        <v/>
      </c>
      <c r="M233" s="180" t="e">
        <f>VLOOKUP(N233,#REF!,4,FALSE)</f>
        <v>#REF!</v>
      </c>
      <c r="N233" s="52">
        <v>370</v>
      </c>
      <c r="O233" s="53" t="s">
        <v>404</v>
      </c>
      <c r="P233" s="235">
        <f t="shared" si="89"/>
        <v>0</v>
      </c>
      <c r="Q233" s="236">
        <f t="shared" si="90"/>
        <v>0</v>
      </c>
      <c r="R233" s="236">
        <f t="shared" si="91"/>
        <v>0</v>
      </c>
      <c r="S233" s="236">
        <f t="shared" si="92"/>
        <v>0</v>
      </c>
      <c r="T233" s="236">
        <f t="shared" si="93"/>
        <v>0</v>
      </c>
      <c r="U233" s="237" t="str">
        <f>IF(AA233 = "", "", IF(OR($H233 = PARÂMETROS!$E$5, $H233 = ""), AA233, IF(OR(AA233 &lt; (1-VLOOKUP($H233,PARÂMETROS!$E:$F,2,FALSE))*$P233, AA233 &gt; (1+VLOOKUP($H233,PARÂMETROS!$E:$F,2,FALSE))*$P233),"",AA233)))</f>
        <v/>
      </c>
      <c r="V233" s="237" t="str">
        <f>IF(AG233 = "", "", IF(OR($H233 = PARÂMETROS!$E$5, $H233 = ""), AG233, IF(OR(AG233 &lt; (1-VLOOKUP($H233,PARÂMETROS!$E:$F,2,FALSE))*$P238, AG233 &gt; (1+VLOOKUP($H233,PARÂMETROS!$E:$F,2,FALSE))*$P233),"",AG233)))</f>
        <v/>
      </c>
      <c r="W233" s="237" t="str">
        <f>IF(AM233 = "", "", IF(OR($H233 = PARÂMETROS!$E$5, $H233 = ""), AM233, IF(OR(AM233 &lt; (1-VLOOKUP($H233,PARÂMETROS!$E:$F,2,FALSE))*$P233, AM233 &gt; (1+VLOOKUP($H233,PARÂMETROS!$E:$F,2,FALSE))*$P233),"",AM233)))</f>
        <v/>
      </c>
      <c r="X233" s="237" t="str">
        <f>IF(AS233 = "", "", IF(OR($H233 = PARÂMETROS!$E$5, $H233 = ""), AS233, IF(OR(AS233 &lt; (1-VLOOKUP($H233,PARÂMETROS!$E:$F,2,FALSE))*$P233, AS233 &gt; (1+VLOOKUP($H233,PARÂMETROS!$E:$F,2,FALSE))*$P233),"",AS233)))</f>
        <v/>
      </c>
      <c r="Y233" s="237" t="str">
        <f>IF(AY233 = "", "", IF(OR($H233 = PARÂMETROS!$E$5, $H233 = ""), AY233, IF(OR(AY233 &lt; (1-VLOOKUP($H233,PARÂMETROS!$E:$F,2,FALSE))*$P233, AY233 &gt; (1+VLOOKUP($H233,PARÂMETROS!$E:$F,2,FALSE))*$P233),"",AY233)))</f>
        <v/>
      </c>
      <c r="Z233" s="237" t="str">
        <f>IF(BE233 = "", "", IF(OR($H233 = PARÂMETROS!$E$5, $H233 = ""), BE233, IF(OR(BE233 &lt; (1-VLOOKUP($H233,PARÂMETROS!$E:$F,2,FALSE))*$P233, BE233 &gt; (1+VLOOKUP($H233,PARÂMETROS!$E:$F,2,FALSE))*$P233),"",BE233)))</f>
        <v/>
      </c>
      <c r="AA233" s="207"/>
      <c r="AB233" s="208"/>
      <c r="AC233" s="206"/>
      <c r="AD233" s="217"/>
      <c r="AE233" s="218"/>
      <c r="AF233" s="220" t="str">
        <f t="shared" ca="1" si="94"/>
        <v/>
      </c>
      <c r="AG233" s="229"/>
      <c r="AH233" s="231"/>
      <c r="AI233" s="206"/>
      <c r="AJ233" s="217"/>
      <c r="AK233" s="218"/>
      <c r="AL233" s="220" t="str">
        <f t="shared" ca="1" si="95"/>
        <v/>
      </c>
      <c r="AM233" s="229"/>
      <c r="AN233" s="231"/>
      <c r="AO233" s="206"/>
      <c r="AP233" s="217"/>
      <c r="AQ233" s="218"/>
      <c r="AR233" s="220" t="str">
        <f t="shared" ca="1" si="96"/>
        <v/>
      </c>
      <c r="AS233" s="229"/>
      <c r="AT233" s="231"/>
      <c r="AU233" s="194"/>
      <c r="AV233" s="217"/>
      <c r="AW233" s="218"/>
      <c r="AX233" s="220" t="str">
        <f t="shared" ca="1" si="97"/>
        <v/>
      </c>
      <c r="AY233" s="195"/>
      <c r="AZ233" s="196"/>
      <c r="BA233" s="209" t="str">
        <f>IF(AND(OR(AY233="",AY233=0),OR(AY233="",AZ233=0)),"",IF(OR(AY233="",AY233=0),"DEFINIR PREÇO",IF(OR(AZ233="",AZ233=0),"DEFINIR FORNECEDOR",IF(OR(AY233&lt;&gt;"",AY233&lt;&gt;0),VLOOKUP(AZ233,#REF!,2,FALSE)))))</f>
        <v/>
      </c>
      <c r="BB233" s="194"/>
      <c r="BC233" s="194"/>
      <c r="BD233" s="220" t="str">
        <f t="shared" ca="1" si="98"/>
        <v/>
      </c>
      <c r="BE233" s="195"/>
      <c r="BF233" s="196"/>
      <c r="BG233" s="194"/>
      <c r="BH233" s="194"/>
      <c r="BI233" s="194"/>
      <c r="BJ233" s="197"/>
    </row>
    <row r="234" spans="1:62" x14ac:dyDescent="0.25">
      <c r="A234" s="44" t="s">
        <v>405</v>
      </c>
      <c r="B234" s="58" t="s">
        <v>38</v>
      </c>
      <c r="C234" s="45"/>
      <c r="D234" s="55" t="s">
        <v>37</v>
      </c>
      <c r="E234" s="45" t="s">
        <v>34</v>
      </c>
      <c r="F234" s="46" t="str">
        <f t="shared" si="99"/>
        <v>SEM PREÇO</v>
      </c>
      <c r="G234" s="47" t="str">
        <f t="shared" si="100"/>
        <v>SEM PREÇO</v>
      </c>
      <c r="H234" s="240" t="s">
        <v>2000</v>
      </c>
      <c r="I234" s="240" t="s">
        <v>2001</v>
      </c>
      <c r="J234" s="242" t="str">
        <f>IFERROR(IF(N234&lt;&gt;"",M234,IF(I234 = PARÂMETROS!$B$5,Q234, IF(I234 = PARÂMETROS!$B$6,R234,IF(I234 = PARÂMETROS!$B$7,S234,IF(I234 = PARÂMETROS!$B$8, T234,"DEFINIR CRITÉRIO"))))),"SEM PREÇO")</f>
        <v>SEM PREÇO</v>
      </c>
      <c r="K234" s="241">
        <f t="shared" si="87"/>
        <v>0</v>
      </c>
      <c r="L234" s="238" t="str">
        <f t="shared" si="88"/>
        <v/>
      </c>
      <c r="M234" s="180" t="e">
        <f>VLOOKUP(N234,#REF!,4,FALSE)</f>
        <v>#REF!</v>
      </c>
      <c r="N234" s="52">
        <v>367</v>
      </c>
      <c r="O234" s="53" t="s">
        <v>404</v>
      </c>
      <c r="P234" s="235">
        <f t="shared" si="89"/>
        <v>0</v>
      </c>
      <c r="Q234" s="236">
        <f t="shared" si="90"/>
        <v>0</v>
      </c>
      <c r="R234" s="236">
        <f t="shared" si="91"/>
        <v>0</v>
      </c>
      <c r="S234" s="236">
        <f t="shared" si="92"/>
        <v>0</v>
      </c>
      <c r="T234" s="236">
        <f t="shared" si="93"/>
        <v>0</v>
      </c>
      <c r="U234" s="237" t="str">
        <f>IF(AA234 = "", "", IF(OR($H234 = PARÂMETROS!$E$5, $H234 = ""), AA234, IF(OR(AA234 &lt; (1-VLOOKUP($H234,PARÂMETROS!$E:$F,2,FALSE))*$P234, AA234 &gt; (1+VLOOKUP($H234,PARÂMETROS!$E:$F,2,FALSE))*$P234),"",AA234)))</f>
        <v/>
      </c>
      <c r="V234" s="237" t="str">
        <f>IF(AG234 = "", "", IF(OR($H234 = PARÂMETROS!$E$5, $H234 = ""), AG234, IF(OR(AG234 &lt; (1-VLOOKUP($H234,PARÂMETROS!$E:$F,2,FALSE))*$P239, AG234 &gt; (1+VLOOKUP($H234,PARÂMETROS!$E:$F,2,FALSE))*$P234),"",AG234)))</f>
        <v/>
      </c>
      <c r="W234" s="237" t="str">
        <f>IF(AM234 = "", "", IF(OR($H234 = PARÂMETROS!$E$5, $H234 = ""), AM234, IF(OR(AM234 &lt; (1-VLOOKUP($H234,PARÂMETROS!$E:$F,2,FALSE))*$P234, AM234 &gt; (1+VLOOKUP($H234,PARÂMETROS!$E:$F,2,FALSE))*$P234),"",AM234)))</f>
        <v/>
      </c>
      <c r="X234" s="237" t="str">
        <f>IF(AS234 = "", "", IF(OR($H234 = PARÂMETROS!$E$5, $H234 = ""), AS234, IF(OR(AS234 &lt; (1-VLOOKUP($H234,PARÂMETROS!$E:$F,2,FALSE))*$P234, AS234 &gt; (1+VLOOKUP($H234,PARÂMETROS!$E:$F,2,FALSE))*$P234),"",AS234)))</f>
        <v/>
      </c>
      <c r="Y234" s="237" t="str">
        <f>IF(AY234 = "", "", IF(OR($H234 = PARÂMETROS!$E$5, $H234 = ""), AY234, IF(OR(AY234 &lt; (1-VLOOKUP($H234,PARÂMETROS!$E:$F,2,FALSE))*$P234, AY234 &gt; (1+VLOOKUP($H234,PARÂMETROS!$E:$F,2,FALSE))*$P234),"",AY234)))</f>
        <v/>
      </c>
      <c r="Z234" s="237" t="str">
        <f>IF(BE234 = "", "", IF(OR($H234 = PARÂMETROS!$E$5, $H234 = ""), BE234, IF(OR(BE234 &lt; (1-VLOOKUP($H234,PARÂMETROS!$E:$F,2,FALSE))*$P234, BE234 &gt; (1+VLOOKUP($H234,PARÂMETROS!$E:$F,2,FALSE))*$P234),"",BE234)))</f>
        <v/>
      </c>
      <c r="AA234" s="207"/>
      <c r="AB234" s="208"/>
      <c r="AC234" s="206"/>
      <c r="AD234" s="217"/>
      <c r="AE234" s="218"/>
      <c r="AF234" s="220" t="str">
        <f t="shared" ca="1" si="94"/>
        <v/>
      </c>
      <c r="AG234" s="229"/>
      <c r="AH234" s="231"/>
      <c r="AI234" s="206"/>
      <c r="AJ234" s="217"/>
      <c r="AK234" s="218"/>
      <c r="AL234" s="220" t="str">
        <f t="shared" ca="1" si="95"/>
        <v/>
      </c>
      <c r="AM234" s="229"/>
      <c r="AN234" s="231"/>
      <c r="AO234" s="206"/>
      <c r="AP234" s="217"/>
      <c r="AQ234" s="218"/>
      <c r="AR234" s="220" t="str">
        <f t="shared" ca="1" si="96"/>
        <v/>
      </c>
      <c r="AS234" s="229"/>
      <c r="AT234" s="231"/>
      <c r="AU234" s="194"/>
      <c r="AV234" s="217"/>
      <c r="AW234" s="218"/>
      <c r="AX234" s="220" t="str">
        <f t="shared" ca="1" si="97"/>
        <v/>
      </c>
      <c r="AY234" s="195"/>
      <c r="AZ234" s="196"/>
      <c r="BA234" s="209" t="str">
        <f>IF(AND(OR(AY234="",AY234=0),OR(AY234="",AZ234=0)),"",IF(OR(AY234="",AY234=0),"DEFINIR PREÇO",IF(OR(AZ234="",AZ234=0),"DEFINIR FORNECEDOR",IF(OR(AY234&lt;&gt;"",AY234&lt;&gt;0),VLOOKUP(AZ234,#REF!,2,FALSE)))))</f>
        <v/>
      </c>
      <c r="BB234" s="194"/>
      <c r="BC234" s="194"/>
      <c r="BD234" s="220" t="str">
        <f t="shared" ca="1" si="98"/>
        <v/>
      </c>
      <c r="BE234" s="195"/>
      <c r="BF234" s="196"/>
      <c r="BG234" s="194"/>
      <c r="BH234" s="194"/>
      <c r="BI234" s="194"/>
      <c r="BJ234" s="197"/>
    </row>
    <row r="235" spans="1:62" x14ac:dyDescent="0.25">
      <c r="A235" s="44" t="s">
        <v>405</v>
      </c>
      <c r="B235" s="58" t="s">
        <v>408</v>
      </c>
      <c r="C235" s="45"/>
      <c r="D235" s="55" t="s">
        <v>130</v>
      </c>
      <c r="E235" s="45" t="s">
        <v>34</v>
      </c>
      <c r="F235" s="46" t="str">
        <f t="shared" si="99"/>
        <v>SEM PREÇO</v>
      </c>
      <c r="G235" s="47" t="str">
        <f t="shared" si="100"/>
        <v>SEM PREÇO</v>
      </c>
      <c r="H235" s="240" t="s">
        <v>2000</v>
      </c>
      <c r="I235" s="240" t="s">
        <v>2001</v>
      </c>
      <c r="J235" s="242" t="str">
        <f>IFERROR(IF(N235&lt;&gt;"",M235,IF(I235 = PARÂMETROS!$B$5,Q235, IF(I235 = PARÂMETROS!$B$6,R235,IF(I235 = PARÂMETROS!$B$7,S235,IF(I235 = PARÂMETROS!$B$8, T235,"DEFINIR CRITÉRIO"))))),"SEM PREÇO")</f>
        <v>SEM PREÇO</v>
      </c>
      <c r="K235" s="241">
        <f t="shared" si="87"/>
        <v>0</v>
      </c>
      <c r="L235" s="238" t="str">
        <f t="shared" si="88"/>
        <v/>
      </c>
      <c r="M235" s="180" t="e">
        <f>VLOOKUP(N235,#REF!,4,FALSE)</f>
        <v>#REF!</v>
      </c>
      <c r="N235" s="52">
        <v>366</v>
      </c>
      <c r="O235" s="53" t="s">
        <v>404</v>
      </c>
      <c r="P235" s="235">
        <f t="shared" si="89"/>
        <v>0</v>
      </c>
      <c r="Q235" s="236">
        <f t="shared" si="90"/>
        <v>0</v>
      </c>
      <c r="R235" s="236">
        <f t="shared" si="91"/>
        <v>0</v>
      </c>
      <c r="S235" s="236">
        <f t="shared" si="92"/>
        <v>0</v>
      </c>
      <c r="T235" s="236">
        <f t="shared" si="93"/>
        <v>0</v>
      </c>
      <c r="U235" s="237" t="str">
        <f>IF(AA235 = "", "", IF(OR($H235 = PARÂMETROS!$E$5, $H235 = ""), AA235, IF(OR(AA235 &lt; (1-VLOOKUP($H235,PARÂMETROS!$E:$F,2,FALSE))*$P235, AA235 &gt; (1+VLOOKUP($H235,PARÂMETROS!$E:$F,2,FALSE))*$P235),"",AA235)))</f>
        <v/>
      </c>
      <c r="V235" s="237" t="str">
        <f>IF(AG235 = "", "", IF(OR($H235 = PARÂMETROS!$E$5, $H235 = ""), AG235, IF(OR(AG235 &lt; (1-VLOOKUP($H235,PARÂMETROS!$E:$F,2,FALSE))*$P241, AG235 &gt; (1+VLOOKUP($H235,PARÂMETROS!$E:$F,2,FALSE))*$P235),"",AG235)))</f>
        <v/>
      </c>
      <c r="W235" s="237" t="str">
        <f>IF(AM235 = "", "", IF(OR($H235 = PARÂMETROS!$E$5, $H235 = ""), AM235, IF(OR(AM235 &lt; (1-VLOOKUP($H235,PARÂMETROS!$E:$F,2,FALSE))*$P235, AM235 &gt; (1+VLOOKUP($H235,PARÂMETROS!$E:$F,2,FALSE))*$P235),"",AM235)))</f>
        <v/>
      </c>
      <c r="X235" s="237" t="str">
        <f>IF(AS235 = "", "", IF(OR($H235 = PARÂMETROS!$E$5, $H235 = ""), AS235, IF(OR(AS235 &lt; (1-VLOOKUP($H235,PARÂMETROS!$E:$F,2,FALSE))*$P235, AS235 &gt; (1+VLOOKUP($H235,PARÂMETROS!$E:$F,2,FALSE))*$P235),"",AS235)))</f>
        <v/>
      </c>
      <c r="Y235" s="237" t="str">
        <f>IF(AY235 = "", "", IF(OR($H235 = PARÂMETROS!$E$5, $H235 = ""), AY235, IF(OR(AY235 &lt; (1-VLOOKUP($H235,PARÂMETROS!$E:$F,2,FALSE))*$P235, AY235 &gt; (1+VLOOKUP($H235,PARÂMETROS!$E:$F,2,FALSE))*$P235),"",AY235)))</f>
        <v/>
      </c>
      <c r="Z235" s="237" t="str">
        <f>IF(BE235 = "", "", IF(OR($H235 = PARÂMETROS!$E$5, $H235 = ""), BE235, IF(OR(BE235 &lt; (1-VLOOKUP($H235,PARÂMETROS!$E:$F,2,FALSE))*$P235, BE235 &gt; (1+VLOOKUP($H235,PARÂMETROS!$E:$F,2,FALSE))*$P235),"",BE235)))</f>
        <v/>
      </c>
      <c r="AA235" s="207"/>
      <c r="AB235" s="208"/>
      <c r="AC235" s="206"/>
      <c r="AD235" s="217"/>
      <c r="AE235" s="218"/>
      <c r="AF235" s="220" t="str">
        <f t="shared" ca="1" si="94"/>
        <v/>
      </c>
      <c r="AG235" s="229"/>
      <c r="AH235" s="231"/>
      <c r="AI235" s="206"/>
      <c r="AJ235" s="217"/>
      <c r="AK235" s="218"/>
      <c r="AL235" s="220" t="str">
        <f t="shared" ca="1" si="95"/>
        <v/>
      </c>
      <c r="AM235" s="229"/>
      <c r="AN235" s="231"/>
      <c r="AO235" s="206"/>
      <c r="AP235" s="217"/>
      <c r="AQ235" s="218"/>
      <c r="AR235" s="220" t="str">
        <f t="shared" ca="1" si="96"/>
        <v/>
      </c>
      <c r="AS235" s="229"/>
      <c r="AT235" s="231"/>
      <c r="AU235" s="194"/>
      <c r="AV235" s="217"/>
      <c r="AW235" s="218"/>
      <c r="AX235" s="220" t="str">
        <f t="shared" ca="1" si="97"/>
        <v/>
      </c>
      <c r="AY235" s="195"/>
      <c r="AZ235" s="196"/>
      <c r="BA235" s="209" t="str">
        <f>IF(AND(OR(AY235="",AY235=0),OR(AY235="",AZ235=0)),"",IF(OR(AY235="",AY235=0),"DEFINIR PREÇO",IF(OR(AZ235="",AZ235=0),"DEFINIR FORNECEDOR",IF(OR(AY235&lt;&gt;"",AY235&lt;&gt;0),VLOOKUP(AZ235,#REF!,2,FALSE)))))</f>
        <v/>
      </c>
      <c r="BB235" s="194"/>
      <c r="BC235" s="194"/>
      <c r="BD235" s="220" t="str">
        <f t="shared" ca="1" si="98"/>
        <v/>
      </c>
      <c r="BE235" s="195"/>
      <c r="BF235" s="196"/>
      <c r="BG235" s="194"/>
      <c r="BH235" s="194"/>
      <c r="BI235" s="194"/>
      <c r="BJ235" s="197"/>
    </row>
    <row r="236" spans="1:62" x14ac:dyDescent="0.25">
      <c r="A236" s="44" t="s">
        <v>405</v>
      </c>
      <c r="B236" s="58" t="s">
        <v>129</v>
      </c>
      <c r="C236" s="45"/>
      <c r="D236" s="55" t="s">
        <v>63</v>
      </c>
      <c r="E236" s="45" t="s">
        <v>34</v>
      </c>
      <c r="F236" s="46" t="str">
        <f t="shared" si="99"/>
        <v>SEM PREÇO</v>
      </c>
      <c r="G236" s="47" t="str">
        <f t="shared" si="100"/>
        <v>SEM PREÇO</v>
      </c>
      <c r="H236" s="240" t="s">
        <v>2000</v>
      </c>
      <c r="I236" s="240" t="s">
        <v>2001</v>
      </c>
      <c r="J236" s="242" t="str">
        <f>IFERROR(IF(N236&lt;&gt;"",M236,IF(I236 = PARÂMETROS!$B$5,Q236, IF(I236 = PARÂMETROS!$B$6,R236,IF(I236 = PARÂMETROS!$B$7,S236,IF(I236 = PARÂMETROS!$B$8, T236,"DEFINIR CRITÉRIO"))))),"SEM PREÇO")</f>
        <v>SEM PREÇO</v>
      </c>
      <c r="K236" s="241">
        <f t="shared" si="87"/>
        <v>0</v>
      </c>
      <c r="L236" s="238" t="str">
        <f t="shared" si="88"/>
        <v/>
      </c>
      <c r="M236" s="180" t="e">
        <f>VLOOKUP(N236,#REF!,4,FALSE)</f>
        <v>#REF!</v>
      </c>
      <c r="N236" s="52">
        <v>6081</v>
      </c>
      <c r="O236" s="53" t="s">
        <v>404</v>
      </c>
      <c r="P236" s="235">
        <f t="shared" si="89"/>
        <v>0</v>
      </c>
      <c r="Q236" s="236">
        <f t="shared" si="90"/>
        <v>0</v>
      </c>
      <c r="R236" s="236">
        <f t="shared" si="91"/>
        <v>0</v>
      </c>
      <c r="S236" s="236">
        <f t="shared" si="92"/>
        <v>0</v>
      </c>
      <c r="T236" s="236">
        <f t="shared" si="93"/>
        <v>0</v>
      </c>
      <c r="U236" s="237" t="str">
        <f>IF(AA236 = "", "", IF(OR($H236 = PARÂMETROS!$E$5, $H236 = ""), AA236, IF(OR(AA236 &lt; (1-VLOOKUP($H236,PARÂMETROS!$E:$F,2,FALSE))*$P236, AA236 &gt; (1+VLOOKUP($H236,PARÂMETROS!$E:$F,2,FALSE))*$P236),"",AA236)))</f>
        <v/>
      </c>
      <c r="V236" s="237" t="str">
        <f>IF(AG236 = "", "", IF(OR($H236 = PARÂMETROS!$E$5, $H236 = ""), AG236, IF(OR(AG236 &lt; (1-VLOOKUP($H236,PARÂMETROS!$E:$F,2,FALSE))*$P242, AG236 &gt; (1+VLOOKUP($H236,PARÂMETROS!$E:$F,2,FALSE))*$P236),"",AG236)))</f>
        <v/>
      </c>
      <c r="W236" s="237" t="str">
        <f>IF(AM236 = "", "", IF(OR($H236 = PARÂMETROS!$E$5, $H236 = ""), AM236, IF(OR(AM236 &lt; (1-VLOOKUP($H236,PARÂMETROS!$E:$F,2,FALSE))*$P236, AM236 &gt; (1+VLOOKUP($H236,PARÂMETROS!$E:$F,2,FALSE))*$P236),"",AM236)))</f>
        <v/>
      </c>
      <c r="X236" s="237" t="str">
        <f>IF(AS236 = "", "", IF(OR($H236 = PARÂMETROS!$E$5, $H236 = ""), AS236, IF(OR(AS236 &lt; (1-VLOOKUP($H236,PARÂMETROS!$E:$F,2,FALSE))*$P236, AS236 &gt; (1+VLOOKUP($H236,PARÂMETROS!$E:$F,2,FALSE))*$P236),"",AS236)))</f>
        <v/>
      </c>
      <c r="Y236" s="237" t="str">
        <f>IF(AY236 = "", "", IF(OR($H236 = PARÂMETROS!$E$5, $H236 = ""), AY236, IF(OR(AY236 &lt; (1-VLOOKUP($H236,PARÂMETROS!$E:$F,2,FALSE))*$P236, AY236 &gt; (1+VLOOKUP($H236,PARÂMETROS!$E:$F,2,FALSE))*$P236),"",AY236)))</f>
        <v/>
      </c>
      <c r="Z236" s="237" t="str">
        <f>IF(BE236 = "", "", IF(OR($H236 = PARÂMETROS!$E$5, $H236 = ""), BE236, IF(OR(BE236 &lt; (1-VLOOKUP($H236,PARÂMETROS!$E:$F,2,FALSE))*$P236, BE236 &gt; (1+VLOOKUP($H236,PARÂMETROS!$E:$F,2,FALSE))*$P236),"",BE236)))</f>
        <v/>
      </c>
      <c r="AA236" s="207"/>
      <c r="AB236" s="208"/>
      <c r="AC236" s="206"/>
      <c r="AD236" s="217"/>
      <c r="AE236" s="218"/>
      <c r="AF236" s="220" t="str">
        <f t="shared" ca="1" si="94"/>
        <v/>
      </c>
      <c r="AG236" s="229"/>
      <c r="AH236" s="231"/>
      <c r="AI236" s="206"/>
      <c r="AJ236" s="217"/>
      <c r="AK236" s="218"/>
      <c r="AL236" s="220" t="str">
        <f t="shared" ca="1" si="95"/>
        <v/>
      </c>
      <c r="AM236" s="229"/>
      <c r="AN236" s="231"/>
      <c r="AO236" s="206"/>
      <c r="AP236" s="217"/>
      <c r="AQ236" s="218"/>
      <c r="AR236" s="220" t="str">
        <f t="shared" ca="1" si="96"/>
        <v/>
      </c>
      <c r="AS236" s="229"/>
      <c r="AT236" s="231"/>
      <c r="AU236" s="194"/>
      <c r="AV236" s="217"/>
      <c r="AW236" s="218"/>
      <c r="AX236" s="220" t="str">
        <f t="shared" ca="1" si="97"/>
        <v/>
      </c>
      <c r="AY236" s="195"/>
      <c r="AZ236" s="196"/>
      <c r="BA236" s="209" t="str">
        <f>IF(AND(OR(AY236="",AY236=0),OR(AY236="",AZ236=0)),"",IF(OR(AY236="",AY236=0),"DEFINIR PREÇO",IF(OR(AZ236="",AZ236=0),"DEFINIR FORNECEDOR",IF(OR(AY236&lt;&gt;"",AY236&lt;&gt;0),VLOOKUP(AZ236,#REF!,2,FALSE)))))</f>
        <v/>
      </c>
      <c r="BB236" s="194"/>
      <c r="BC236" s="194"/>
      <c r="BD236" s="220" t="str">
        <f t="shared" ca="1" si="98"/>
        <v/>
      </c>
      <c r="BE236" s="195"/>
      <c r="BF236" s="196"/>
      <c r="BG236" s="194"/>
      <c r="BH236" s="194"/>
      <c r="BI236" s="194"/>
      <c r="BJ236" s="197"/>
    </row>
    <row r="237" spans="1:62" x14ac:dyDescent="0.25">
      <c r="A237" s="44" t="s">
        <v>405</v>
      </c>
      <c r="B237" s="58" t="s">
        <v>100</v>
      </c>
      <c r="C237" s="45"/>
      <c r="D237" s="55" t="s">
        <v>94</v>
      </c>
      <c r="E237" s="45" t="s">
        <v>34</v>
      </c>
      <c r="F237" s="46" t="str">
        <f t="shared" si="99"/>
        <v>SEM PREÇO</v>
      </c>
      <c r="G237" s="47" t="str">
        <f t="shared" si="100"/>
        <v>SEM PREÇO</v>
      </c>
      <c r="H237" s="240" t="s">
        <v>2000</v>
      </c>
      <c r="I237" s="240" t="s">
        <v>2001</v>
      </c>
      <c r="J237" s="242" t="str">
        <f>IFERROR(IF(N237&lt;&gt;"",M237,IF(I237 = PARÂMETROS!$B$5,Q237, IF(I237 = PARÂMETROS!$B$6,R237,IF(I237 = PARÂMETROS!$B$7,S237,IF(I237 = PARÂMETROS!$B$8, T237,"DEFINIR CRITÉRIO"))))),"SEM PREÇO")</f>
        <v>SEM PREÇO</v>
      </c>
      <c r="K237" s="241">
        <f t="shared" si="87"/>
        <v>0</v>
      </c>
      <c r="L237" s="238" t="str">
        <f t="shared" si="88"/>
        <v/>
      </c>
      <c r="M237" s="180" t="e">
        <f>VLOOKUP(N237,#REF!,4,FALSE)</f>
        <v>#REF!</v>
      </c>
      <c r="N237" s="52">
        <v>6076</v>
      </c>
      <c r="O237" s="53" t="s">
        <v>404</v>
      </c>
      <c r="P237" s="235">
        <f t="shared" si="89"/>
        <v>0</v>
      </c>
      <c r="Q237" s="236">
        <f t="shared" si="90"/>
        <v>0</v>
      </c>
      <c r="R237" s="236">
        <f t="shared" si="91"/>
        <v>0</v>
      </c>
      <c r="S237" s="236">
        <f t="shared" si="92"/>
        <v>0</v>
      </c>
      <c r="T237" s="236">
        <f t="shared" si="93"/>
        <v>0</v>
      </c>
      <c r="U237" s="237" t="str">
        <f>IF(AA237 = "", "", IF(OR($H237 = PARÂMETROS!$E$5, $H237 = ""), AA237, IF(OR(AA237 &lt; (1-VLOOKUP($H237,PARÂMETROS!$E:$F,2,FALSE))*$P237, AA237 &gt; (1+VLOOKUP($H237,PARÂMETROS!$E:$F,2,FALSE))*$P237),"",AA237)))</f>
        <v/>
      </c>
      <c r="V237" s="237" t="str">
        <f>IF(AG237 = "", "", IF(OR($H237 = PARÂMETROS!$E$5, $H237 = ""), AG237, IF(OR(AG237 &lt; (1-VLOOKUP($H237,PARÂMETROS!$E:$F,2,FALSE))*$P243, AG237 &gt; (1+VLOOKUP($H237,PARÂMETROS!$E:$F,2,FALSE))*$P237),"",AG237)))</f>
        <v/>
      </c>
      <c r="W237" s="237" t="str">
        <f>IF(AM237 = "", "", IF(OR($H237 = PARÂMETROS!$E$5, $H237 = ""), AM237, IF(OR(AM237 &lt; (1-VLOOKUP($H237,PARÂMETROS!$E:$F,2,FALSE))*$P237, AM237 &gt; (1+VLOOKUP($H237,PARÂMETROS!$E:$F,2,FALSE))*$P237),"",AM237)))</f>
        <v/>
      </c>
      <c r="X237" s="237" t="str">
        <f>IF(AS237 = "", "", IF(OR($H237 = PARÂMETROS!$E$5, $H237 = ""), AS237, IF(OR(AS237 &lt; (1-VLOOKUP($H237,PARÂMETROS!$E:$F,2,FALSE))*$P237, AS237 &gt; (1+VLOOKUP($H237,PARÂMETROS!$E:$F,2,FALSE))*$P237),"",AS237)))</f>
        <v/>
      </c>
      <c r="Y237" s="237" t="str">
        <f>IF(AY237 = "", "", IF(OR($H237 = PARÂMETROS!$E$5, $H237 = ""), AY237, IF(OR(AY237 &lt; (1-VLOOKUP($H237,PARÂMETROS!$E:$F,2,FALSE))*$P237, AY237 &gt; (1+VLOOKUP($H237,PARÂMETROS!$E:$F,2,FALSE))*$P237),"",AY237)))</f>
        <v/>
      </c>
      <c r="Z237" s="237" t="str">
        <f>IF(BE237 = "", "", IF(OR($H237 = PARÂMETROS!$E$5, $H237 = ""), BE237, IF(OR(BE237 &lt; (1-VLOOKUP($H237,PARÂMETROS!$E:$F,2,FALSE))*$P237, BE237 &gt; (1+VLOOKUP($H237,PARÂMETROS!$E:$F,2,FALSE))*$P237),"",BE237)))</f>
        <v/>
      </c>
      <c r="AA237" s="207"/>
      <c r="AB237" s="208"/>
      <c r="AC237" s="206"/>
      <c r="AD237" s="217"/>
      <c r="AE237" s="218"/>
      <c r="AF237" s="220" t="str">
        <f t="shared" ca="1" si="94"/>
        <v/>
      </c>
      <c r="AG237" s="229"/>
      <c r="AH237" s="231"/>
      <c r="AI237" s="206"/>
      <c r="AJ237" s="217"/>
      <c r="AK237" s="218"/>
      <c r="AL237" s="220" t="str">
        <f t="shared" ca="1" si="95"/>
        <v/>
      </c>
      <c r="AM237" s="229"/>
      <c r="AN237" s="231"/>
      <c r="AO237" s="206"/>
      <c r="AP237" s="217"/>
      <c r="AQ237" s="218"/>
      <c r="AR237" s="220" t="str">
        <f t="shared" ca="1" si="96"/>
        <v/>
      </c>
      <c r="AS237" s="229"/>
      <c r="AT237" s="231"/>
      <c r="AU237" s="194"/>
      <c r="AV237" s="217"/>
      <c r="AW237" s="218"/>
      <c r="AX237" s="220" t="str">
        <f t="shared" ca="1" si="97"/>
        <v/>
      </c>
      <c r="AY237" s="195"/>
      <c r="AZ237" s="196"/>
      <c r="BA237" s="209" t="str">
        <f>IF(AND(OR(AY237="",AY237=0),OR(AY237="",AZ237=0)),"",IF(OR(AY237="",AY237=0),"DEFINIR PREÇO",IF(OR(AZ237="",AZ237=0),"DEFINIR FORNECEDOR",IF(OR(AY237&lt;&gt;"",AY237&lt;&gt;0),VLOOKUP(AZ237,#REF!,2,FALSE)))))</f>
        <v/>
      </c>
      <c r="BB237" s="194"/>
      <c r="BC237" s="194"/>
      <c r="BD237" s="220" t="str">
        <f t="shared" ca="1" si="98"/>
        <v/>
      </c>
      <c r="BE237" s="195"/>
      <c r="BF237" s="196"/>
      <c r="BG237" s="194"/>
      <c r="BH237" s="194"/>
      <c r="BI237" s="194"/>
      <c r="BJ237" s="197"/>
    </row>
    <row r="238" spans="1:62" x14ac:dyDescent="0.25">
      <c r="A238" s="44" t="s">
        <v>405</v>
      </c>
      <c r="B238" s="58" t="s">
        <v>57</v>
      </c>
      <c r="C238" s="45"/>
      <c r="D238" s="55" t="s">
        <v>56</v>
      </c>
      <c r="E238" s="45" t="s">
        <v>34</v>
      </c>
      <c r="F238" s="46" t="str">
        <f t="shared" si="99"/>
        <v>SEM PREÇO</v>
      </c>
      <c r="G238" s="47" t="str">
        <f t="shared" si="100"/>
        <v>SEM PREÇO</v>
      </c>
      <c r="H238" s="240" t="s">
        <v>2000</v>
      </c>
      <c r="I238" s="240" t="s">
        <v>2001</v>
      </c>
      <c r="J238" s="242" t="str">
        <f>IFERROR(IF(N238&lt;&gt;"",M238,IF(I238 = PARÂMETROS!$B$5,Q238, IF(I238 = PARÂMETROS!$B$6,R238,IF(I238 = PARÂMETROS!$B$7,S238,IF(I238 = PARÂMETROS!$B$8, T238,"DEFINIR CRITÉRIO"))))),"SEM PREÇO")</f>
        <v>SEM PREÇO</v>
      </c>
      <c r="K238" s="241">
        <f t="shared" si="87"/>
        <v>0</v>
      </c>
      <c r="L238" s="238" t="str">
        <f t="shared" si="88"/>
        <v/>
      </c>
      <c r="M238" s="180" t="e">
        <f>VLOOKUP(N238,#REF!,4,FALSE)</f>
        <v>#REF!</v>
      </c>
      <c r="N238" s="52">
        <v>368</v>
      </c>
      <c r="O238" s="53" t="s">
        <v>404</v>
      </c>
      <c r="P238" s="235">
        <f t="shared" si="89"/>
        <v>0</v>
      </c>
      <c r="Q238" s="236">
        <f t="shared" si="90"/>
        <v>0</v>
      </c>
      <c r="R238" s="236">
        <f t="shared" si="91"/>
        <v>0</v>
      </c>
      <c r="S238" s="236">
        <f t="shared" si="92"/>
        <v>0</v>
      </c>
      <c r="T238" s="236">
        <f t="shared" si="93"/>
        <v>0</v>
      </c>
      <c r="U238" s="237" t="str">
        <f>IF(AA238 = "", "", IF(OR($H238 = PARÂMETROS!$E$5, $H238 = ""), AA238, IF(OR(AA238 &lt; (1-VLOOKUP($H238,PARÂMETROS!$E:$F,2,FALSE))*$P238, AA238 &gt; (1+VLOOKUP($H238,PARÂMETROS!$E:$F,2,FALSE))*$P238),"",AA238)))</f>
        <v/>
      </c>
      <c r="V238" s="237" t="str">
        <f>IF(AG238 = "", "", IF(OR($H238 = PARÂMETROS!$E$5, $H238 = ""), AG238, IF(OR(AG238 &lt; (1-VLOOKUP($H238,PARÂMETROS!$E:$F,2,FALSE))*$P244, AG238 &gt; (1+VLOOKUP($H238,PARÂMETROS!$E:$F,2,FALSE))*$P238),"",AG238)))</f>
        <v/>
      </c>
      <c r="W238" s="237" t="str">
        <f>IF(AM238 = "", "", IF(OR($H238 = PARÂMETROS!$E$5, $H238 = ""), AM238, IF(OR(AM238 &lt; (1-VLOOKUP($H238,PARÂMETROS!$E:$F,2,FALSE))*$P238, AM238 &gt; (1+VLOOKUP($H238,PARÂMETROS!$E:$F,2,FALSE))*$P238),"",AM238)))</f>
        <v/>
      </c>
      <c r="X238" s="237" t="str">
        <f>IF(AS238 = "", "", IF(OR($H238 = PARÂMETROS!$E$5, $H238 = ""), AS238, IF(OR(AS238 &lt; (1-VLOOKUP($H238,PARÂMETROS!$E:$F,2,FALSE))*$P238, AS238 &gt; (1+VLOOKUP($H238,PARÂMETROS!$E:$F,2,FALSE))*$P238),"",AS238)))</f>
        <v/>
      </c>
      <c r="Y238" s="237" t="str">
        <f>IF(AY238 = "", "", IF(OR($H238 = PARÂMETROS!$E$5, $H238 = ""), AY238, IF(OR(AY238 &lt; (1-VLOOKUP($H238,PARÂMETROS!$E:$F,2,FALSE))*$P238, AY238 &gt; (1+VLOOKUP($H238,PARÂMETROS!$E:$F,2,FALSE))*$P238),"",AY238)))</f>
        <v/>
      </c>
      <c r="Z238" s="237" t="str">
        <f>IF(BE238 = "", "", IF(OR($H238 = PARÂMETROS!$E$5, $H238 = ""), BE238, IF(OR(BE238 &lt; (1-VLOOKUP($H238,PARÂMETROS!$E:$F,2,FALSE))*$P238, BE238 &gt; (1+VLOOKUP($H238,PARÂMETROS!$E:$F,2,FALSE))*$P238),"",BE238)))</f>
        <v/>
      </c>
      <c r="AA238" s="207"/>
      <c r="AB238" s="208"/>
      <c r="AC238" s="206"/>
      <c r="AD238" s="217"/>
      <c r="AE238" s="218"/>
      <c r="AF238" s="220" t="str">
        <f t="shared" ca="1" si="94"/>
        <v/>
      </c>
      <c r="AG238" s="229"/>
      <c r="AH238" s="231"/>
      <c r="AI238" s="206"/>
      <c r="AJ238" s="217"/>
      <c r="AK238" s="218"/>
      <c r="AL238" s="220" t="str">
        <f t="shared" ca="1" si="95"/>
        <v/>
      </c>
      <c r="AM238" s="229"/>
      <c r="AN238" s="231"/>
      <c r="AO238" s="206"/>
      <c r="AP238" s="217"/>
      <c r="AQ238" s="218"/>
      <c r="AR238" s="220" t="str">
        <f t="shared" ca="1" si="96"/>
        <v/>
      </c>
      <c r="AS238" s="229"/>
      <c r="AT238" s="231"/>
      <c r="AU238" s="194"/>
      <c r="AV238" s="217"/>
      <c r="AW238" s="218"/>
      <c r="AX238" s="220" t="str">
        <f t="shared" ca="1" si="97"/>
        <v/>
      </c>
      <c r="AY238" s="195"/>
      <c r="AZ238" s="196"/>
      <c r="BA238" s="209" t="str">
        <f>IF(AND(OR(AY238="",AY238=0),OR(AY238="",AZ238=0)),"",IF(OR(AY238="",AY238=0),"DEFINIR PREÇO",IF(OR(AZ238="",AZ238=0),"DEFINIR FORNECEDOR",IF(OR(AY238&lt;&gt;"",AY238&lt;&gt;0),VLOOKUP(AZ238,#REF!,2,FALSE)))))</f>
        <v/>
      </c>
      <c r="BB238" s="194"/>
      <c r="BC238" s="194"/>
      <c r="BD238" s="220" t="str">
        <f t="shared" ca="1" si="98"/>
        <v/>
      </c>
      <c r="BE238" s="195"/>
      <c r="BF238" s="196"/>
      <c r="BG238" s="194"/>
      <c r="BH238" s="194"/>
      <c r="BI238" s="194"/>
      <c r="BJ238" s="197"/>
    </row>
    <row r="239" spans="1:62" ht="30" x14ac:dyDescent="0.25">
      <c r="A239" s="44" t="s">
        <v>405</v>
      </c>
      <c r="B239" s="58" t="s">
        <v>1430</v>
      </c>
      <c r="C239" s="45"/>
      <c r="D239" s="55" t="s">
        <v>1429</v>
      </c>
      <c r="E239" s="45" t="s">
        <v>34</v>
      </c>
      <c r="F239" s="46" t="e">
        <f>0.5*F236+0.5*F238</f>
        <v>#VALUE!</v>
      </c>
      <c r="G239" s="47" t="e">
        <f>0.5*G236+0.5*G238</f>
        <v>#VALUE!</v>
      </c>
      <c r="H239" s="240" t="s">
        <v>2000</v>
      </c>
      <c r="I239" s="240" t="s">
        <v>2001</v>
      </c>
      <c r="J239" s="242" t="str">
        <f>IFERROR(IF(N239&lt;&gt;"",M239,IF(I239 = PARÂMETROS!$B$5,Q239, IF(I239 = PARÂMETROS!$B$6,R239,IF(I239 = PARÂMETROS!$B$7,S239,IF(I239 = PARÂMETROS!$B$8, T239,"DEFINIR CRITÉRIO"))))),"SEM PREÇO")</f>
        <v>DEFINIR CRITÉRIO</v>
      </c>
      <c r="K239" s="241" t="str">
        <f t="shared" si="87"/>
        <v/>
      </c>
      <c r="L239" s="238" t="str">
        <f t="shared" si="88"/>
        <v/>
      </c>
      <c r="M239" s="180"/>
      <c r="N239" s="52"/>
      <c r="O239" s="53" t="s">
        <v>404</v>
      </c>
      <c r="P239" s="235">
        <f t="shared" si="89"/>
        <v>0</v>
      </c>
      <c r="Q239" s="236">
        <f t="shared" si="90"/>
        <v>0</v>
      </c>
      <c r="R239" s="236">
        <f t="shared" si="91"/>
        <v>0</v>
      </c>
      <c r="S239" s="236">
        <f t="shared" si="92"/>
        <v>0</v>
      </c>
      <c r="T239" s="236">
        <f t="shared" si="93"/>
        <v>0</v>
      </c>
      <c r="U239" s="237" t="str">
        <f>IF(AA239 = "", "", IF(OR($H239 = PARÂMETROS!$E$5, $H239 = ""), AA239, IF(OR(AA239 &lt; (1-VLOOKUP($H239,PARÂMETROS!$E:$F,2,FALSE))*$P239, AA239 &gt; (1+VLOOKUP($H239,PARÂMETROS!$E:$F,2,FALSE))*$P239),"",AA239)))</f>
        <v/>
      </c>
      <c r="V239" s="237" t="str">
        <f>IF(AG239 = "", "", IF(OR($H239 = PARÂMETROS!$E$5, $H239 = ""), AG239, IF(OR(AG239 &lt; (1-VLOOKUP($H239,PARÂMETROS!$E:$F,2,FALSE))*$P245, AG239 &gt; (1+VLOOKUP($H239,PARÂMETROS!$E:$F,2,FALSE))*$P239),"",AG239)))</f>
        <v/>
      </c>
      <c r="W239" s="237" t="str">
        <f>IF(AM239 = "", "", IF(OR($H239 = PARÂMETROS!$E$5, $H239 = ""), AM239, IF(OR(AM239 &lt; (1-VLOOKUP($H239,PARÂMETROS!$E:$F,2,FALSE))*$P239, AM239 &gt; (1+VLOOKUP($H239,PARÂMETROS!$E:$F,2,FALSE))*$P239),"",AM239)))</f>
        <v/>
      </c>
      <c r="X239" s="237" t="str">
        <f>IF(AS239 = "", "", IF(OR($H239 = PARÂMETROS!$E$5, $H239 = ""), AS239, IF(OR(AS239 &lt; (1-VLOOKUP($H239,PARÂMETROS!$E:$F,2,FALSE))*$P239, AS239 &gt; (1+VLOOKUP($H239,PARÂMETROS!$E:$F,2,FALSE))*$P239),"",AS239)))</f>
        <v/>
      </c>
      <c r="Y239" s="237" t="str">
        <f>IF(AY239 = "", "", IF(OR($H239 = PARÂMETROS!$E$5, $H239 = ""), AY239, IF(OR(AY239 &lt; (1-VLOOKUP($H239,PARÂMETROS!$E:$F,2,FALSE))*$P239, AY239 &gt; (1+VLOOKUP($H239,PARÂMETROS!$E:$F,2,FALSE))*$P239),"",AY239)))</f>
        <v/>
      </c>
      <c r="Z239" s="237" t="str">
        <f>IF(BE239 = "", "", IF(OR($H239 = PARÂMETROS!$E$5, $H239 = ""), BE239, IF(OR(BE239 &lt; (1-VLOOKUP($H239,PARÂMETROS!$E:$F,2,FALSE))*$P239, BE239 &gt; (1+VLOOKUP($H239,PARÂMETROS!$E:$F,2,FALSE))*$P239),"",BE239)))</f>
        <v/>
      </c>
      <c r="AA239" s="207"/>
      <c r="AB239" s="208"/>
      <c r="AC239" s="206"/>
      <c r="AD239" s="217"/>
      <c r="AE239" s="218"/>
      <c r="AF239" s="220" t="str">
        <f t="shared" ca="1" si="94"/>
        <v/>
      </c>
      <c r="AG239" s="229"/>
      <c r="AH239" s="231"/>
      <c r="AI239" s="206"/>
      <c r="AJ239" s="217"/>
      <c r="AK239" s="218"/>
      <c r="AL239" s="220" t="str">
        <f t="shared" ca="1" si="95"/>
        <v/>
      </c>
      <c r="AM239" s="229"/>
      <c r="AN239" s="231"/>
      <c r="AO239" s="206"/>
      <c r="AP239" s="217"/>
      <c r="AQ239" s="218"/>
      <c r="AR239" s="220" t="str">
        <f t="shared" ca="1" si="96"/>
        <v/>
      </c>
      <c r="AS239" s="229"/>
      <c r="AT239" s="231"/>
      <c r="AU239" s="194"/>
      <c r="AV239" s="217"/>
      <c r="AW239" s="218"/>
      <c r="AX239" s="220" t="str">
        <f t="shared" ca="1" si="97"/>
        <v/>
      </c>
      <c r="AY239" s="195"/>
      <c r="AZ239" s="196"/>
      <c r="BA239" s="209" t="str">
        <f>IF(AND(OR(AY239="",AY239=0),OR(AY239="",AZ239=0)),"",IF(OR(AY239="",AY239=0),"DEFINIR PREÇO",IF(OR(AZ239="",AZ239=0),"DEFINIR FORNECEDOR",IF(OR(AY239&lt;&gt;"",AY239&lt;&gt;0),VLOOKUP(AZ239,#REF!,2,FALSE)))))</f>
        <v/>
      </c>
      <c r="BB239" s="194"/>
      <c r="BC239" s="194"/>
      <c r="BD239" s="220" t="str">
        <f t="shared" ca="1" si="98"/>
        <v/>
      </c>
      <c r="BE239" s="195"/>
      <c r="BF239" s="196"/>
      <c r="BG239" s="194"/>
      <c r="BH239" s="194"/>
      <c r="BI239" s="194"/>
      <c r="BJ239" s="197"/>
    </row>
    <row r="240" spans="1:62" x14ac:dyDescent="0.25">
      <c r="A240" s="44" t="s">
        <v>405</v>
      </c>
      <c r="B240" s="58" t="s">
        <v>2037</v>
      </c>
      <c r="C240" s="45"/>
      <c r="D240" s="55" t="s">
        <v>2053</v>
      </c>
      <c r="E240" s="45" t="s">
        <v>34</v>
      </c>
      <c r="F240" s="46" t="str">
        <f>J240</f>
        <v>SEM PREÇO</v>
      </c>
      <c r="G240" s="47" t="str">
        <f>J240</f>
        <v>SEM PREÇO</v>
      </c>
      <c r="H240" s="240" t="s">
        <v>2000</v>
      </c>
      <c r="I240" s="240" t="s">
        <v>2001</v>
      </c>
      <c r="J240" s="242" t="str">
        <f>IFERROR(IF(N240&lt;&gt;"",M240,IF(I240 = PARÂMETROS!$B$5,Q240, IF(I240 = PARÂMETROS!$B$6,R240,IF(I240 = PARÂMETROS!$B$7,S240,IF(I240 = PARÂMETROS!$B$8, T240,"DEFINIR CRITÉRIO"))))),"SEM PREÇO")</f>
        <v>SEM PREÇO</v>
      </c>
      <c r="K240" s="241">
        <f t="shared" ref="K240" si="101">IF(OR(J240="", J240="DEFINIR VALOR", J240="DEFINIR CRITÉRIO"),"",IFERROR(_xlfn.STDEV.P(AA240,AG240,AM240,AS240,AY240,BE240),0))</f>
        <v>0</v>
      </c>
      <c r="L240" s="238" t="str">
        <f t="shared" ref="L240" si="102">IF(OR(P240="", P240="DEFINIR VALOR", P240="DEFINIR CRITÉRIO",K240 = ""),"", IF(P240 = 0, "", K240/P240))</f>
        <v/>
      </c>
      <c r="M240" s="180" t="e">
        <f>VLOOKUP(N240,#REF!,4,FALSE)</f>
        <v>#REF!</v>
      </c>
      <c r="N240" s="52" t="s">
        <v>2036</v>
      </c>
      <c r="O240" s="53" t="s">
        <v>1422</v>
      </c>
      <c r="P240" s="235">
        <f t="shared" ref="P240" si="103">IFERROR(AVERAGE(AA240,AG240,AM240,AS240,AY240,BE240),0)</f>
        <v>0</v>
      </c>
      <c r="Q240" s="236">
        <f t="shared" ref="Q240" si="104">IFERROR(AVERAGE(U240:Z240),0)</f>
        <v>0</v>
      </c>
      <c r="R240" s="236">
        <f t="shared" ref="R240" si="105">IFERROR(MEDIAN(U240:Z240),0)</f>
        <v>0</v>
      </c>
      <c r="S240" s="236">
        <f t="shared" ref="S240" si="106">IFERROR(SMALL(U240:Z240,1),0)</f>
        <v>0</v>
      </c>
      <c r="T240" s="236">
        <f t="shared" ref="T240" si="107">IFERROR(_xlfn.MODE.SNGL(U240:Z240),0)</f>
        <v>0</v>
      </c>
      <c r="U240" s="237" t="str">
        <f>IF(AA240 = "", "", IF(OR($H240 = PARÂMETROS!$E$5, $H240 = ""), AA240, IF(OR(AA240 &lt; (1-VLOOKUP($H240,PARÂMETROS!$E:$F,2,FALSE))*$P240, AA240 &gt; (1+VLOOKUP($H240,PARÂMETROS!$E:$F,2,FALSE))*$P240),"",AA240)))</f>
        <v/>
      </c>
      <c r="V240" s="237" t="str">
        <f>IF(AG240 = "", "", IF(OR($H240 = PARÂMETROS!$E$5, $H240 = ""), AG240, IF(OR(AG240 &lt; (1-VLOOKUP($H240,PARÂMETROS!$E:$F,2,FALSE))*$P246, AG240 &gt; (1+VLOOKUP($H240,PARÂMETROS!$E:$F,2,FALSE))*$P240),"",AG240)))</f>
        <v/>
      </c>
      <c r="W240" s="237" t="str">
        <f>IF(AM240 = "", "", IF(OR($H240 = PARÂMETROS!$E$5, $H240 = ""), AM240, IF(OR(AM240 &lt; (1-VLOOKUP($H240,PARÂMETROS!$E:$F,2,FALSE))*$P240, AM240 &gt; (1+VLOOKUP($H240,PARÂMETROS!$E:$F,2,FALSE))*$P240),"",AM240)))</f>
        <v/>
      </c>
      <c r="X240" s="237" t="str">
        <f>IF(AS240 = "", "", IF(OR($H240 = PARÂMETROS!$E$5, $H240 = ""), AS240, IF(OR(AS240 &lt; (1-VLOOKUP($H240,PARÂMETROS!$E:$F,2,FALSE))*$P240, AS240 &gt; (1+VLOOKUP($H240,PARÂMETROS!$E:$F,2,FALSE))*$P240),"",AS240)))</f>
        <v/>
      </c>
      <c r="Y240" s="237" t="str">
        <f>IF(AY240 = "", "", IF(OR($H240 = PARÂMETROS!$E$5, $H240 = ""), AY240, IF(OR(AY240 &lt; (1-VLOOKUP($H240,PARÂMETROS!$E:$F,2,FALSE))*$P240, AY240 &gt; (1+VLOOKUP($H240,PARÂMETROS!$E:$F,2,FALSE))*$P240),"",AY240)))</f>
        <v/>
      </c>
      <c r="Z240" s="237" t="str">
        <f>IF(BE240 = "", "", IF(OR($H240 = PARÂMETROS!$E$5, $H240 = ""), BE240, IF(OR(BE240 &lt; (1-VLOOKUP($H240,PARÂMETROS!$E:$F,2,FALSE))*$P240, BE240 &gt; (1+VLOOKUP($H240,PARÂMETROS!$E:$F,2,FALSE))*$P240),"",BE240)))</f>
        <v/>
      </c>
      <c r="AA240" s="207"/>
      <c r="AB240" s="208"/>
      <c r="AC240" s="206"/>
      <c r="AD240" s="217"/>
      <c r="AE240" s="218"/>
      <c r="AF240" s="220" t="str">
        <f t="shared" ref="AF240" ca="1" si="108">IF(AE240 = "", "", IF(AE240 + 180 &gt; TODAY(),"VIGENTE", "DESATUALIZADA"))</f>
        <v/>
      </c>
      <c r="AG240" s="229"/>
      <c r="AH240" s="231"/>
      <c r="AI240" s="206"/>
      <c r="AJ240" s="217"/>
      <c r="AK240" s="218"/>
      <c r="AL240" s="220" t="str">
        <f t="shared" ref="AL240" ca="1" si="109">IF(AK240 = "", "", IF(AK240 + 180 &gt; TODAY(),"VIGENTE", "DESATUALIZADA"))</f>
        <v/>
      </c>
      <c r="AM240" s="229"/>
      <c r="AN240" s="231"/>
      <c r="AO240" s="206"/>
      <c r="AP240" s="217"/>
      <c r="AQ240" s="218"/>
      <c r="AR240" s="220" t="str">
        <f t="shared" ref="AR240" ca="1" si="110">IF(AQ240 = "", "", IF(AQ240 + 180 &gt; TODAY(),"VIGENTE", "DESATUALIZADA"))</f>
        <v/>
      </c>
      <c r="AS240" s="229"/>
      <c r="AT240" s="231"/>
      <c r="AU240" s="194"/>
      <c r="AV240" s="217"/>
      <c r="AW240" s="218"/>
      <c r="AX240" s="220" t="str">
        <f t="shared" ref="AX240" ca="1" si="111">IF(AW240 = "", "", IF(AW240 + 180 &gt; TODAY(),"VIGENTE", "DESATUALIZADA"))</f>
        <v/>
      </c>
      <c r="AY240" s="195"/>
      <c r="AZ240" s="196"/>
      <c r="BA240" s="209" t="str">
        <f>IF(AND(OR(AY240="",AY240=0),OR(AY240="",AZ240=0)),"",IF(OR(AY240="",AY240=0),"DEFINIR PREÇO",IF(OR(AZ240="",AZ240=0),"DEFINIR FORNECEDOR",IF(OR(AY240&lt;&gt;"",AY240&lt;&gt;0),VLOOKUP(AZ240,#REF!,2,FALSE)))))</f>
        <v/>
      </c>
      <c r="BB240" s="194"/>
      <c r="BC240" s="194"/>
      <c r="BD240" s="220" t="str">
        <f t="shared" ref="BD240" ca="1" si="112">IF(BC240 = "", "", IF(BC240 + 180 &gt; TODAY(),"VIGENTE", "DESATUALIZADA"))</f>
        <v/>
      </c>
      <c r="BE240" s="195"/>
      <c r="BF240" s="196"/>
      <c r="BG240" s="194"/>
      <c r="BH240" s="194"/>
      <c r="BI240" s="194"/>
      <c r="BJ240" s="197"/>
    </row>
    <row r="241" spans="1:62" x14ac:dyDescent="0.25">
      <c r="A241" s="44" t="s">
        <v>405</v>
      </c>
      <c r="B241" s="58" t="s">
        <v>428</v>
      </c>
      <c r="C241" s="45"/>
      <c r="D241" s="55" t="s">
        <v>429</v>
      </c>
      <c r="E241" s="45" t="s">
        <v>79</v>
      </c>
      <c r="F241" s="158" t="e">
        <f>VLOOKUP(B241,#REF!,4,FALSE)*188.57</f>
        <v>#REF!</v>
      </c>
      <c r="G241" s="47" t="e">
        <f>VLOOKUP(B241,#REF!,4,FALSE)*188.57</f>
        <v>#REF!</v>
      </c>
      <c r="H241" s="240" t="s">
        <v>2000</v>
      </c>
      <c r="I241" s="240" t="s">
        <v>2001</v>
      </c>
      <c r="J241" s="57">
        <f>SUM(J242:J249)</f>
        <v>0</v>
      </c>
      <c r="K241" s="241">
        <f t="shared" si="87"/>
        <v>0</v>
      </c>
      <c r="L241" s="238" t="str">
        <f t="shared" si="88"/>
        <v/>
      </c>
      <c r="M241" s="51"/>
      <c r="N241" s="52"/>
      <c r="O241" s="53" t="s">
        <v>26</v>
      </c>
      <c r="P241" s="235">
        <f t="shared" si="89"/>
        <v>0</v>
      </c>
      <c r="Q241" s="236">
        <f t="shared" si="90"/>
        <v>0</v>
      </c>
      <c r="R241" s="236">
        <f t="shared" si="91"/>
        <v>0</v>
      </c>
      <c r="S241" s="236">
        <f t="shared" si="92"/>
        <v>0</v>
      </c>
      <c r="T241" s="236">
        <f t="shared" si="93"/>
        <v>0</v>
      </c>
      <c r="U241" s="237" t="str">
        <f>IF(AA241 = "", "", IF(OR($H241 = PARÂMETROS!$E$5, $H241 = ""), AA241, IF(OR(AA241 &lt; (1-VLOOKUP($H241,PARÂMETROS!$E:$F,2,FALSE))*$P241, AA241 &gt; (1+VLOOKUP($H241,PARÂMETROS!$E:$F,2,FALSE))*$P241),"",AA241)))</f>
        <v/>
      </c>
      <c r="V241" s="237" t="str">
        <f>IF(AG241 = "", "", IF(OR($H241 = PARÂMETROS!$E$5, $H241 = ""), AG241, IF(OR(AG241 &lt; (1-VLOOKUP($H241,PARÂMETROS!$E:$F,2,FALSE))*$P246, AG241 &gt; (1+VLOOKUP($H241,PARÂMETROS!$E:$F,2,FALSE))*$P241),"",AG241)))</f>
        <v/>
      </c>
      <c r="W241" s="237" t="str">
        <f>IF(AM241 = "", "", IF(OR($H241 = PARÂMETROS!$E$5, $H241 = ""), AM241, IF(OR(AM241 &lt; (1-VLOOKUP($H241,PARÂMETROS!$E:$F,2,FALSE))*$P241, AM241 &gt; (1+VLOOKUP($H241,PARÂMETROS!$E:$F,2,FALSE))*$P241),"",AM241)))</f>
        <v/>
      </c>
      <c r="X241" s="237" t="str">
        <f>IF(AS241 = "", "", IF(OR($H241 = PARÂMETROS!$E$5, $H241 = ""), AS241, IF(OR(AS241 &lt; (1-VLOOKUP($H241,PARÂMETROS!$E:$F,2,FALSE))*$P241, AS241 &gt; (1+VLOOKUP($H241,PARÂMETROS!$E:$F,2,FALSE))*$P241),"",AS241)))</f>
        <v/>
      </c>
      <c r="Y241" s="237" t="str">
        <f>IF(AY241 = "", "", IF(OR($H241 = PARÂMETROS!$E$5, $H241 = ""), AY241, IF(OR(AY241 &lt; (1-VLOOKUP($H241,PARÂMETROS!$E:$F,2,FALSE))*$P241, AY241 &gt; (1+VLOOKUP($H241,PARÂMETROS!$E:$F,2,FALSE))*$P241),"",AY241)))</f>
        <v/>
      </c>
      <c r="Z241" s="237" t="str">
        <f>IF(BE241 = "", "", IF(OR($H241 = PARÂMETROS!$E$5, $H241 = ""), BE241, IF(OR(BE241 &lt; (1-VLOOKUP($H241,PARÂMETROS!$E:$F,2,FALSE))*$P241, BE241 &gt; (1+VLOOKUP($H241,PARÂMETROS!$E:$F,2,FALSE))*$P241),"",BE241)))</f>
        <v/>
      </c>
      <c r="AA241" s="207"/>
      <c r="AB241" s="208"/>
      <c r="AC241" s="206"/>
      <c r="AD241" s="217"/>
      <c r="AE241" s="218"/>
      <c r="AF241" s="220" t="str">
        <f t="shared" ca="1" si="94"/>
        <v/>
      </c>
      <c r="AG241" s="229"/>
      <c r="AH241" s="231"/>
      <c r="AI241" s="206"/>
      <c r="AJ241" s="217"/>
      <c r="AK241" s="218"/>
      <c r="AL241" s="220" t="str">
        <f t="shared" ca="1" si="95"/>
        <v/>
      </c>
      <c r="AM241" s="229"/>
      <c r="AN241" s="231"/>
      <c r="AO241" s="206"/>
      <c r="AP241" s="217"/>
      <c r="AQ241" s="218"/>
      <c r="AR241" s="220" t="str">
        <f t="shared" ca="1" si="96"/>
        <v/>
      </c>
      <c r="AS241" s="229"/>
      <c r="AT241" s="231"/>
      <c r="AU241" s="194"/>
      <c r="AV241" s="217"/>
      <c r="AW241" s="218"/>
      <c r="AX241" s="220" t="str">
        <f t="shared" ca="1" si="97"/>
        <v/>
      </c>
      <c r="AY241" s="195"/>
      <c r="AZ241" s="196"/>
      <c r="BA241" s="209" t="str">
        <f>IF(AND(OR(AY241="",AY241=0),OR(AY241="",AZ241=0)),"",IF(OR(AY241="",AY241=0),"DEFINIR PREÇO",IF(OR(AZ241="",AZ241=0),"DEFINIR FORNECEDOR",IF(OR(AY241&lt;&gt;"",AY241&lt;&gt;0),VLOOKUP(AZ241,#REF!,2,FALSE)))))</f>
        <v/>
      </c>
      <c r="BB241" s="201"/>
      <c r="BC241" s="199"/>
      <c r="BD241" s="220" t="str">
        <f t="shared" ca="1" si="98"/>
        <v/>
      </c>
      <c r="BE241" s="195"/>
      <c r="BF241" s="196"/>
      <c r="BG241" s="194"/>
      <c r="BH241" s="201"/>
      <c r="BI241" s="199"/>
      <c r="BJ241" s="197"/>
    </row>
    <row r="242" spans="1:62" ht="25.5" customHeight="1" x14ac:dyDescent="0.25">
      <c r="A242" s="44"/>
      <c r="B242" s="45"/>
      <c r="C242" s="45"/>
      <c r="D242" s="140" t="s">
        <v>468</v>
      </c>
      <c r="E242" s="45"/>
      <c r="F242" s="46"/>
      <c r="G242" s="47"/>
      <c r="H242" s="240" t="s">
        <v>2000</v>
      </c>
      <c r="I242" s="240" t="s">
        <v>2001</v>
      </c>
      <c r="J242" s="242" t="str">
        <f>IFERROR(IF(N242&lt;&gt;"",M242,IF(I242 = PARÂMETROS!$B$5,Q242, IF(I242 = PARÂMETROS!$B$6,R242,IF(I242 = PARÂMETROS!$B$7,S242,IF(I242 = PARÂMETROS!$B$8, T242,"DEFINIR CRITÉRIO"))))),"SEM PREÇO")</f>
        <v>DEFINIR CRITÉRIO</v>
      </c>
      <c r="K242" s="241" t="str">
        <f t="shared" si="87"/>
        <v/>
      </c>
      <c r="L242" s="238" t="str">
        <f t="shared" si="88"/>
        <v/>
      </c>
      <c r="M242" s="51"/>
      <c r="N242" s="52"/>
      <c r="O242" s="53"/>
      <c r="P242" s="235">
        <f t="shared" si="89"/>
        <v>100.98</v>
      </c>
      <c r="Q242" s="236">
        <f t="shared" si="90"/>
        <v>0</v>
      </c>
      <c r="R242" s="236">
        <f t="shared" si="91"/>
        <v>0</v>
      </c>
      <c r="S242" s="236">
        <f t="shared" si="92"/>
        <v>0</v>
      </c>
      <c r="T242" s="236">
        <f t="shared" si="93"/>
        <v>0</v>
      </c>
      <c r="U242" s="237" t="e">
        <f>IF(AA242 = "", "", IF(OR($H242 = PARÂMETROS!$E$5, $H242 = ""), AA242, IF(OR(AA242 &lt; (1-VLOOKUP($H242,PARÂMETROS!$E:$F,2,FALSE))*$P242, AA242 &gt; (1+VLOOKUP($H242,PARÂMETROS!$E:$F,2,FALSE))*$P242),"",AA242)))</f>
        <v>#N/A</v>
      </c>
      <c r="V242" s="237" t="e">
        <f>IF(AG242 = "", "", IF(OR($H242 = PARÂMETROS!$E$5, $H242 = ""), AG242, IF(OR(AG242 &lt; (1-VLOOKUP($H242,PARÂMETROS!$E:$F,2,FALSE))*$P247, AG242 &gt; (1+VLOOKUP($H242,PARÂMETROS!$E:$F,2,FALSE))*$P242),"",AG242)))</f>
        <v>#N/A</v>
      </c>
      <c r="W242" s="237" t="e">
        <f>IF(AM242 = "", "", IF(OR($H242 = PARÂMETROS!$E$5, $H242 = ""), AM242, IF(OR(AM242 &lt; (1-VLOOKUP($H242,PARÂMETROS!$E:$F,2,FALSE))*$P242, AM242 &gt; (1+VLOOKUP($H242,PARÂMETROS!$E:$F,2,FALSE))*$P242),"",AM242)))</f>
        <v>#N/A</v>
      </c>
      <c r="X242" s="237" t="str">
        <f>IF(AS242 = "", "", IF(OR($H242 = PARÂMETROS!$E$5, $H242 = ""), AS242, IF(OR(AS242 &lt; (1-VLOOKUP($H242,PARÂMETROS!$E:$F,2,FALSE))*$P242, AS242 &gt; (1+VLOOKUP($H242,PARÂMETROS!$E:$F,2,FALSE))*$P242),"",AS242)))</f>
        <v/>
      </c>
      <c r="Y242" s="237" t="str">
        <f>IF(AY242 = "", "", IF(OR($H242 = PARÂMETROS!$E$5, $H242 = ""), AY242, IF(OR(AY242 &lt; (1-VLOOKUP($H242,PARÂMETROS!$E:$F,2,FALSE))*$P242, AY242 &gt; (1+VLOOKUP($H242,PARÂMETROS!$E:$F,2,FALSE))*$P242),"",AY242)))</f>
        <v/>
      </c>
      <c r="Z242" s="237" t="str">
        <f>IF(BE242 = "", "", IF(OR($H242 = PARÂMETROS!$E$5, $H242 = ""), BE242, IF(OR(BE242 &lt; (1-VLOOKUP($H242,PARÂMETROS!$E:$F,2,FALSE))*$P242, BE242 &gt; (1+VLOOKUP($H242,PARÂMETROS!$E:$F,2,FALSE))*$P242),"",BE242)))</f>
        <v/>
      </c>
      <c r="AA242" s="207">
        <v>83.16</v>
      </c>
      <c r="AB242" s="208">
        <v>863</v>
      </c>
      <c r="AC242" s="206" t="e">
        <f>IF(AND(OR(AA242="",AA242=0),OR(AA242="",AB242=0)),"",IF(OR(AA242="",AA242=0),"DEFINIR PREÇO",IF(OR(AB242="",AB242=0),"DEFINIR FORNECEDOR",IF(OR(AA242&lt;&gt;"",AA242&lt;&gt;0),VLOOKUP(AB242,#REF!,2,FALSE)))))</f>
        <v>#REF!</v>
      </c>
      <c r="AD242" s="217" t="s">
        <v>1977</v>
      </c>
      <c r="AE242" s="218">
        <v>44923</v>
      </c>
      <c r="AF242" s="220" t="str">
        <f t="shared" ca="1" si="94"/>
        <v>DESATUALIZADA</v>
      </c>
      <c r="AG242" s="229">
        <v>99.9</v>
      </c>
      <c r="AH242" s="231">
        <v>1883</v>
      </c>
      <c r="AI242" s="206" t="e">
        <f>IF(AND(OR(AG242="",AG242=0),OR(AG242="",AH242=0)),"",IF(OR(AG242="",AG242=0),"DEFINIR PREÇO",IF(OR(AH242="",AH242=0),"DEFINIR FORNECEDOR",IF(OR(AG242&lt;&gt;"",AG242&lt;&gt;0),VLOOKUP(AH242,#REF!,2,FALSE)))))</f>
        <v>#REF!</v>
      </c>
      <c r="AJ242" s="217" t="s">
        <v>1977</v>
      </c>
      <c r="AK242" s="218">
        <v>44923</v>
      </c>
      <c r="AL242" s="220" t="str">
        <f t="shared" ca="1" si="95"/>
        <v>DESATUALIZADA</v>
      </c>
      <c r="AM242" s="229">
        <v>119.88</v>
      </c>
      <c r="AN242" s="231">
        <v>855</v>
      </c>
      <c r="AO242" s="206" t="e">
        <f>IF(AND(OR(AM242="",AM242=0),OR(AM242="",AN242=0)),"",IF(OR(AM242="",AM242=0),"DEFINIR PREÇO",IF(OR(AN242="",AN242=0),"DEFINIR FORNECEDOR",IF(OR(AM242&lt;&gt;"",AM242&lt;&gt;0),VLOOKUP(AN242,#REF!,2,FALSE)))))</f>
        <v>#REF!</v>
      </c>
      <c r="AP242" s="217" t="s">
        <v>1977</v>
      </c>
      <c r="AQ242" s="218">
        <v>44923</v>
      </c>
      <c r="AR242" s="220" t="str">
        <f t="shared" ca="1" si="96"/>
        <v>DESATUALIZADA</v>
      </c>
      <c r="AS242" s="229"/>
      <c r="AT242" s="231"/>
      <c r="AU242" s="191" t="str">
        <f>IF(AND(OR(AS242="",AS242=0),OR(AS242="",AT242=0)),"",IF(OR(AS242="",AS242=0),"DEFINIR PREÇO",IF(OR(AT242="",AT242=0),"DEFINIR FORNECEDOR",IF(OR(AS242&lt;&gt;"",AS242&lt;&gt;0),VLOOKUP(AT242,#REF!,2,FALSE)))))</f>
        <v/>
      </c>
      <c r="AV242" s="217"/>
      <c r="AW242" s="218"/>
      <c r="AX242" s="220" t="str">
        <f t="shared" ca="1" si="97"/>
        <v/>
      </c>
      <c r="AY242" s="195"/>
      <c r="AZ242" s="196"/>
      <c r="BA242" s="209" t="str">
        <f>IF(AND(OR(AY242="",AY242=0),OR(AY242="",AZ242=0)),"",IF(OR(AY242="",AY242=0),"DEFINIR PREÇO",IF(OR(AZ242="",AZ242=0),"DEFINIR FORNECEDOR",IF(OR(AY242&lt;&gt;"",AY242&lt;&gt;0),VLOOKUP(AZ242,#REF!,2,FALSE)))))</f>
        <v/>
      </c>
      <c r="BB242" s="194"/>
      <c r="BC242" s="194"/>
      <c r="BD242" s="220" t="str">
        <f t="shared" ca="1" si="98"/>
        <v/>
      </c>
      <c r="BE242" s="195"/>
      <c r="BF242" s="196"/>
      <c r="BG242" s="194" t="str">
        <f>IF(AND(OR(BE242="",BE242=0),OR(BE242="",BF242=0)),"",IF(OR(BE242="",BE242=0),"DEFINIR PREÇO",IF(OR(BF242="",BF242=0),"DEFINIR FORNECEDOR",IF(OR(BE242&lt;&gt;"",BE242&lt;&gt;0),VLOOKUP(BF242,#REF!,2,FALSE)))))</f>
        <v/>
      </c>
      <c r="BH242" s="194"/>
      <c r="BI242" s="194"/>
      <c r="BJ242" s="200"/>
    </row>
    <row r="243" spans="1:62" ht="25.5" customHeight="1" x14ac:dyDescent="0.25">
      <c r="A243" s="44"/>
      <c r="B243" s="45"/>
      <c r="C243" s="45"/>
      <c r="D243" s="140" t="s">
        <v>469</v>
      </c>
      <c r="E243" s="45"/>
      <c r="F243" s="46"/>
      <c r="G243" s="47"/>
      <c r="H243" s="240" t="s">
        <v>2000</v>
      </c>
      <c r="I243" s="240" t="s">
        <v>1999</v>
      </c>
      <c r="J243" s="242" t="str">
        <f>IFERROR(IF(N243&lt;&gt;"",M243,IF(I243 = PARÂMETROS!$B$5,Q243, IF(I243 = PARÂMETROS!$B$6,R243,IF(I243 = PARÂMETROS!$B$7,S243,IF(I243 = PARÂMETROS!$B$8, T243,"DEFINIR CRITÉRIO"))))),"SEM PREÇO")</f>
        <v>DEFINIR CRITÉRIO</v>
      </c>
      <c r="K243" s="241" t="str">
        <f t="shared" si="87"/>
        <v/>
      </c>
      <c r="L243" s="238" t="str">
        <f t="shared" si="88"/>
        <v/>
      </c>
      <c r="M243" s="51"/>
      <c r="N243" s="52"/>
      <c r="O243" s="53"/>
      <c r="P243" s="235">
        <f t="shared" si="89"/>
        <v>60.596666666666671</v>
      </c>
      <c r="Q243" s="236">
        <f t="shared" si="90"/>
        <v>0</v>
      </c>
      <c r="R243" s="236">
        <f t="shared" si="91"/>
        <v>0</v>
      </c>
      <c r="S243" s="236">
        <f t="shared" si="92"/>
        <v>0</v>
      </c>
      <c r="T243" s="236">
        <f t="shared" si="93"/>
        <v>0</v>
      </c>
      <c r="U243" s="237" t="e">
        <f>IF(AA243 = "", "", IF(OR($H243 = PARÂMETROS!$E$5, $H243 = ""), AA243, IF(OR(AA243 &lt; (1-VLOOKUP($H243,PARÂMETROS!$E:$F,2,FALSE))*$P243, AA243 &gt; (1+VLOOKUP($H243,PARÂMETROS!$E:$F,2,FALSE))*$P243),"",AA243)))</f>
        <v>#N/A</v>
      </c>
      <c r="V243" s="237" t="e">
        <f>IF(AG243 = "", "", IF(OR($H243 = PARÂMETROS!$E$5, $H243 = ""), AG243, IF(OR(AG243 &lt; (1-VLOOKUP($H243,PARÂMETROS!$E:$F,2,FALSE))*$P248, AG243 &gt; (1+VLOOKUP($H243,PARÂMETROS!$E:$F,2,FALSE))*$P243),"",AG243)))</f>
        <v>#N/A</v>
      </c>
      <c r="W243" s="237" t="e">
        <f>IF(AM243 = "", "", IF(OR($H243 = PARÂMETROS!$E$5, $H243 = ""), AM243, IF(OR(AM243 &lt; (1-VLOOKUP($H243,PARÂMETROS!$E:$F,2,FALSE))*$P243, AM243 &gt; (1+VLOOKUP($H243,PARÂMETROS!$E:$F,2,FALSE))*$P243),"",AM243)))</f>
        <v>#N/A</v>
      </c>
      <c r="X243" s="237" t="str">
        <f>IF(AS243 = "", "", IF(OR($H243 = PARÂMETROS!$E$5, $H243 = ""), AS243, IF(OR(AS243 &lt; (1-VLOOKUP($H243,PARÂMETROS!$E:$F,2,FALSE))*$P243, AS243 &gt; (1+VLOOKUP($H243,PARÂMETROS!$E:$F,2,FALSE))*$P243),"",AS243)))</f>
        <v/>
      </c>
      <c r="Y243" s="237" t="str">
        <f>IF(AY243 = "", "", IF(OR($H243 = PARÂMETROS!$E$5, $H243 = ""), AY243, IF(OR(AY243 &lt; (1-VLOOKUP($H243,PARÂMETROS!$E:$F,2,FALSE))*$P243, AY243 &gt; (1+VLOOKUP($H243,PARÂMETROS!$E:$F,2,FALSE))*$P243),"",AY243)))</f>
        <v/>
      </c>
      <c r="Z243" s="237" t="str">
        <f>IF(BE243 = "", "", IF(OR($H243 = PARÂMETROS!$E$5, $H243 = ""), BE243, IF(OR(BE243 &lt; (1-VLOOKUP($H243,PARÂMETROS!$E:$F,2,FALSE))*$P243, BE243 &gt; (1+VLOOKUP($H243,PARÂMETROS!$E:$F,2,FALSE))*$P243),"",BE243)))</f>
        <v/>
      </c>
      <c r="AA243" s="207">
        <v>66.900000000000006</v>
      </c>
      <c r="AB243" s="208">
        <v>863</v>
      </c>
      <c r="AC243" s="206" t="e">
        <f>IF(AND(OR(AA243="",AA243=0),OR(AA243="",AB243=0)),"",IF(OR(AA243="",AA243=0),"DEFINIR PREÇO",IF(OR(AB243="",AB243=0),"DEFINIR FORNECEDOR",IF(OR(AA243&lt;&gt;"",AA243&lt;&gt;0),VLOOKUP(AB243,#REF!,2,FALSE)))))</f>
        <v>#REF!</v>
      </c>
      <c r="AD243" s="217" t="s">
        <v>1977</v>
      </c>
      <c r="AE243" s="218">
        <v>44923</v>
      </c>
      <c r="AF243" s="220" t="str">
        <f t="shared" ca="1" si="94"/>
        <v>DESATUALIZADA</v>
      </c>
      <c r="AG243" s="229">
        <v>39.99</v>
      </c>
      <c r="AH243" s="231">
        <v>859</v>
      </c>
      <c r="AI243" s="206" t="e">
        <f>IF(AND(OR(AG243="",AG243=0),OR(AG243="",AH243=0)),"",IF(OR(AG243="",AG243=0),"DEFINIR PREÇO",IF(OR(AH243="",AH243=0),"DEFINIR FORNECEDOR",IF(OR(AG243&lt;&gt;"",AG243&lt;&gt;0),VLOOKUP(AH243,#REF!,2,FALSE)))))</f>
        <v>#REF!</v>
      </c>
      <c r="AJ243" s="217" t="s">
        <v>1977</v>
      </c>
      <c r="AK243" s="218">
        <v>44923</v>
      </c>
      <c r="AL243" s="220" t="str">
        <f t="shared" ca="1" si="95"/>
        <v>DESATUALIZADA</v>
      </c>
      <c r="AM243" s="229">
        <v>74.900000000000006</v>
      </c>
      <c r="AN243" s="231">
        <v>2170</v>
      </c>
      <c r="AO243" s="206" t="e">
        <f>IF(AND(OR(AM243="",AM243=0),OR(AM243="",AN243=0)),"",IF(OR(AM243="",AM243=0),"DEFINIR PREÇO",IF(OR(AN243="",AN243=0),"DEFINIR FORNECEDOR",IF(OR(AM243&lt;&gt;"",AM243&lt;&gt;0),VLOOKUP(AN243,#REF!,2,FALSE)))))</f>
        <v>#REF!</v>
      </c>
      <c r="AP243" s="217" t="s">
        <v>1977</v>
      </c>
      <c r="AQ243" s="218">
        <v>44923</v>
      </c>
      <c r="AR243" s="220" t="str">
        <f t="shared" ca="1" si="96"/>
        <v>DESATUALIZADA</v>
      </c>
      <c r="AS243" s="229"/>
      <c r="AT243" s="231"/>
      <c r="AU243" s="191" t="str">
        <f>IF(AND(OR(AS243="",AS243=0),OR(AS243="",AT243=0)),"",IF(OR(AS243="",AS243=0),"DEFINIR PREÇO",IF(OR(AT243="",AT243=0),"DEFINIR FORNECEDOR",IF(OR(AS243&lt;&gt;"",AS243&lt;&gt;0),VLOOKUP(AT243,#REF!,2,FALSE)))))</f>
        <v/>
      </c>
      <c r="AV243" s="217"/>
      <c r="AW243" s="218"/>
      <c r="AX243" s="220" t="str">
        <f t="shared" ca="1" si="97"/>
        <v/>
      </c>
      <c r="AY243" s="195"/>
      <c r="AZ243" s="196"/>
      <c r="BA243" s="209" t="str">
        <f>IF(AND(OR(AY243="",AY243=0),OR(AY243="",AZ243=0)),"",IF(OR(AY243="",AY243=0),"DEFINIR PREÇO",IF(OR(AZ243="",AZ243=0),"DEFINIR FORNECEDOR",IF(OR(AY243&lt;&gt;"",AY243&lt;&gt;0),VLOOKUP(AZ243,#REF!,2,FALSE)))))</f>
        <v/>
      </c>
      <c r="BB243" s="194"/>
      <c r="BC243" s="194"/>
      <c r="BD243" s="220" t="str">
        <f t="shared" ca="1" si="98"/>
        <v/>
      </c>
      <c r="BE243" s="195"/>
      <c r="BF243" s="196"/>
      <c r="BG243" s="194" t="str">
        <f>IF(AND(OR(BE243="",BE243=0),OR(BE243="",BF243=0)),"",IF(OR(BE243="",BE243=0),"DEFINIR PREÇO",IF(OR(BF243="",BF243=0),"DEFINIR FORNECEDOR",IF(OR(BE243&lt;&gt;"",BE243&lt;&gt;0),VLOOKUP(BF243,#REF!,2,FALSE)))))</f>
        <v/>
      </c>
      <c r="BH243" s="194"/>
      <c r="BI243" s="194"/>
      <c r="BJ243" s="200"/>
    </row>
    <row r="244" spans="1:62" ht="25.5" customHeight="1" x14ac:dyDescent="0.25">
      <c r="A244" s="44"/>
      <c r="B244" s="45"/>
      <c r="C244" s="45"/>
      <c r="D244" s="140" t="s">
        <v>470</v>
      </c>
      <c r="E244" s="45"/>
      <c r="F244" s="46"/>
      <c r="G244" s="47"/>
      <c r="H244" s="240" t="s">
        <v>2000</v>
      </c>
      <c r="I244" s="240" t="s">
        <v>2001</v>
      </c>
      <c r="J244" s="242" t="str">
        <f>IFERROR(IF(N244&lt;&gt;"",M244,IF(I244 = PARÂMETROS!$B$5,Q244, IF(I244 = PARÂMETROS!$B$6,R244,IF(I244 = PARÂMETROS!$B$7,S244,IF(I244 = PARÂMETROS!$B$8, T244,"DEFINIR CRITÉRIO"))))),"SEM PREÇO")</f>
        <v>DEFINIR CRITÉRIO</v>
      </c>
      <c r="K244" s="241" t="str">
        <f t="shared" si="87"/>
        <v/>
      </c>
      <c r="L244" s="238" t="str">
        <f t="shared" si="88"/>
        <v/>
      </c>
      <c r="M244" s="51"/>
      <c r="N244" s="52"/>
      <c r="O244" s="53"/>
      <c r="P244" s="235">
        <f t="shared" si="89"/>
        <v>92.15</v>
      </c>
      <c r="Q244" s="236">
        <f t="shared" si="90"/>
        <v>0</v>
      </c>
      <c r="R244" s="236">
        <f t="shared" si="91"/>
        <v>0</v>
      </c>
      <c r="S244" s="236">
        <f t="shared" si="92"/>
        <v>0</v>
      </c>
      <c r="T244" s="236">
        <f t="shared" si="93"/>
        <v>0</v>
      </c>
      <c r="U244" s="237" t="e">
        <f>IF(AA244 = "", "", IF(OR($H244 = PARÂMETROS!$E$5, $H244 = ""), AA244, IF(OR(AA244 &lt; (1-VLOOKUP($H244,PARÂMETROS!$E:$F,2,FALSE))*$P244, AA244 &gt; (1+VLOOKUP($H244,PARÂMETROS!$E:$F,2,FALSE))*$P244),"",AA244)))</f>
        <v>#N/A</v>
      </c>
      <c r="V244" s="237" t="e">
        <f>IF(AG244 = "", "", IF(OR($H244 = PARÂMETROS!$E$5, $H244 = ""), AG244, IF(OR(AG244 &lt; (1-VLOOKUP($H244,PARÂMETROS!$E:$F,2,FALSE))*$P249, AG244 &gt; (1+VLOOKUP($H244,PARÂMETROS!$E:$F,2,FALSE))*$P244),"",AG244)))</f>
        <v>#N/A</v>
      </c>
      <c r="W244" s="237" t="e">
        <f>IF(AM244 = "", "", IF(OR($H244 = PARÂMETROS!$E$5, $H244 = ""), AM244, IF(OR(AM244 &lt; (1-VLOOKUP($H244,PARÂMETROS!$E:$F,2,FALSE))*$P244, AM244 &gt; (1+VLOOKUP($H244,PARÂMETROS!$E:$F,2,FALSE))*$P244),"",AM244)))</f>
        <v>#N/A</v>
      </c>
      <c r="X244" s="237" t="e">
        <f>IF(AS244 = "", "", IF(OR($H244 = PARÂMETROS!$E$5, $H244 = ""), AS244, IF(OR(AS244 &lt; (1-VLOOKUP($H244,PARÂMETROS!$E:$F,2,FALSE))*$P244, AS244 &gt; (1+VLOOKUP($H244,PARÂMETROS!$E:$F,2,FALSE))*$P244),"",AS244)))</f>
        <v>#N/A</v>
      </c>
      <c r="Y244" s="237" t="str">
        <f>IF(AY244 = "", "", IF(OR($H244 = PARÂMETROS!$E$5, $H244 = ""), AY244, IF(OR(AY244 &lt; (1-VLOOKUP($H244,PARÂMETROS!$E:$F,2,FALSE))*$P244, AY244 &gt; (1+VLOOKUP($H244,PARÂMETROS!$E:$F,2,FALSE))*$P244),"",AY244)))</f>
        <v/>
      </c>
      <c r="Z244" s="237" t="str">
        <f>IF(BE244 = "", "", IF(OR($H244 = PARÂMETROS!$E$5, $H244 = ""), BE244, IF(OR(BE244 &lt; (1-VLOOKUP($H244,PARÂMETROS!$E:$F,2,FALSE))*$P244, BE244 &gt; (1+VLOOKUP($H244,PARÂMETROS!$E:$F,2,FALSE))*$P244),"",BE244)))</f>
        <v/>
      </c>
      <c r="AA244" s="207">
        <v>118.9</v>
      </c>
      <c r="AB244" s="208">
        <v>863</v>
      </c>
      <c r="AC244" s="206" t="e">
        <f>IF(AND(OR(AA244="",AA244=0),OR(AA244="",AB244=0)),"",IF(OR(AA244="",AA244=0),"DEFINIR PREÇO",IF(OR(AB244="",AB244=0),"DEFINIR FORNECEDOR",IF(OR(AA244&lt;&gt;"",AA244&lt;&gt;0),VLOOKUP(AB244,#REF!,2,FALSE)))))</f>
        <v>#REF!</v>
      </c>
      <c r="AD244" s="217" t="s">
        <v>1977</v>
      </c>
      <c r="AE244" s="218">
        <v>44923</v>
      </c>
      <c r="AF244" s="220" t="str">
        <f t="shared" ca="1" si="94"/>
        <v>DESATUALIZADA</v>
      </c>
      <c r="AG244" s="229">
        <v>74.900000000000006</v>
      </c>
      <c r="AH244" s="231">
        <v>859</v>
      </c>
      <c r="AI244" s="206" t="e">
        <f>IF(AND(OR(AG244="",AG244=0),OR(AG244="",AH244=0)),"",IF(OR(AG244="",AG244=0),"DEFINIR PREÇO",IF(OR(AH244="",AH244=0),"DEFINIR FORNECEDOR",IF(OR(AG244&lt;&gt;"",AG244&lt;&gt;0),VLOOKUP(AH244,#REF!,2,FALSE)))))</f>
        <v>#REF!</v>
      </c>
      <c r="AJ244" s="217" t="s">
        <v>1977</v>
      </c>
      <c r="AK244" s="218">
        <v>44923</v>
      </c>
      <c r="AL244" s="220" t="str">
        <f t="shared" ca="1" si="95"/>
        <v>DESATUALIZADA</v>
      </c>
      <c r="AM244" s="229">
        <v>74.900000000000006</v>
      </c>
      <c r="AN244" s="231">
        <v>2170</v>
      </c>
      <c r="AO244" s="206" t="e">
        <f>IF(AND(OR(AM244="",AM244=0),OR(AM244="",AN244=0)),"",IF(OR(AM244="",AM244=0),"DEFINIR PREÇO",IF(OR(AN244="",AN244=0),"DEFINIR FORNECEDOR",IF(OR(AM244&lt;&gt;"",AM244&lt;&gt;0),VLOOKUP(AN244,#REF!,2,FALSE)))))</f>
        <v>#REF!</v>
      </c>
      <c r="AP244" s="217" t="s">
        <v>1977</v>
      </c>
      <c r="AQ244" s="218">
        <v>44923</v>
      </c>
      <c r="AR244" s="220" t="str">
        <f t="shared" ca="1" si="96"/>
        <v>DESATUALIZADA</v>
      </c>
      <c r="AS244" s="229">
        <v>99.9</v>
      </c>
      <c r="AT244" s="231">
        <v>1883</v>
      </c>
      <c r="AU244" s="191" t="e">
        <f>IF(AND(OR(AS244="",AS244=0),OR(AS244="",AT244=0)),"",IF(OR(AS244="",AS244=0),"DEFINIR PREÇO",IF(OR(AT244="",AT244=0),"DEFINIR FORNECEDOR",IF(OR(AS244&lt;&gt;"",AS244&lt;&gt;0),VLOOKUP(AT244,#REF!,2,FALSE)))))</f>
        <v>#REF!</v>
      </c>
      <c r="AV244" s="217" t="s">
        <v>1977</v>
      </c>
      <c r="AW244" s="218">
        <v>44923</v>
      </c>
      <c r="AX244" s="220" t="str">
        <f t="shared" ca="1" si="97"/>
        <v>DESATUALIZADA</v>
      </c>
      <c r="AY244" s="195"/>
      <c r="AZ244" s="196"/>
      <c r="BA244" s="209" t="str">
        <f>IF(AND(OR(AY244="",AY244=0),OR(AY244="",AZ244=0)),"",IF(OR(AY244="",AY244=0),"DEFINIR PREÇO",IF(OR(AZ244="",AZ244=0),"DEFINIR FORNECEDOR",IF(OR(AY244&lt;&gt;"",AY244&lt;&gt;0),VLOOKUP(AZ244,#REF!,2,FALSE)))))</f>
        <v/>
      </c>
      <c r="BB244" s="194"/>
      <c r="BC244" s="194"/>
      <c r="BD244" s="220" t="str">
        <f t="shared" ca="1" si="98"/>
        <v/>
      </c>
      <c r="BE244" s="195"/>
      <c r="BF244" s="196"/>
      <c r="BG244" s="194" t="str">
        <f>IF(AND(OR(BE244="",BE244=0),OR(BE244="",BF244=0)),"",IF(OR(BE244="",BE244=0),"DEFINIR PREÇO",IF(OR(BF244="",BF244=0),"DEFINIR FORNECEDOR",IF(OR(BE244&lt;&gt;"",BE244&lt;&gt;0),VLOOKUP(BF244,#REF!,2,FALSE)))))</f>
        <v/>
      </c>
      <c r="BH244" s="194"/>
      <c r="BI244" s="194"/>
      <c r="BJ244" s="200"/>
    </row>
    <row r="245" spans="1:62" ht="25.5" customHeight="1" x14ac:dyDescent="0.25">
      <c r="A245" s="44"/>
      <c r="B245" s="45"/>
      <c r="C245" s="45"/>
      <c r="D245" s="140" t="s">
        <v>471</v>
      </c>
      <c r="E245" s="45"/>
      <c r="F245" s="46"/>
      <c r="G245" s="47"/>
      <c r="H245" s="240" t="s">
        <v>2000</v>
      </c>
      <c r="I245" s="240" t="s">
        <v>1999</v>
      </c>
      <c r="J245" s="242" t="str">
        <f>IFERROR(IF(N245&lt;&gt;"",M245,IF(I245 = PARÂMETROS!$B$5,Q245, IF(I245 = PARÂMETROS!$B$6,R245,IF(I245 = PARÂMETROS!$B$7,S245,IF(I245 = PARÂMETROS!$B$8, T245,"DEFINIR CRITÉRIO"))))),"SEM PREÇO")</f>
        <v>DEFINIR CRITÉRIO</v>
      </c>
      <c r="K245" s="241" t="str">
        <f t="shared" si="87"/>
        <v/>
      </c>
      <c r="L245" s="238" t="str">
        <f t="shared" si="88"/>
        <v/>
      </c>
      <c r="M245" s="51"/>
      <c r="N245" s="52"/>
      <c r="O245" s="53"/>
      <c r="P245" s="235">
        <f t="shared" si="89"/>
        <v>392.4</v>
      </c>
      <c r="Q245" s="236">
        <f t="shared" si="90"/>
        <v>0</v>
      </c>
      <c r="R245" s="236">
        <f t="shared" si="91"/>
        <v>0</v>
      </c>
      <c r="S245" s="236">
        <f t="shared" si="92"/>
        <v>0</v>
      </c>
      <c r="T245" s="236">
        <f t="shared" si="93"/>
        <v>0</v>
      </c>
      <c r="U245" s="237" t="e">
        <f>IF(AA245 = "", "", IF(OR($H245 = PARÂMETROS!$E$5, $H245 = ""), AA245, IF(OR(AA245 &lt; (1-VLOOKUP($H245,PARÂMETROS!$E:$F,2,FALSE))*$P245, AA245 &gt; (1+VLOOKUP($H245,PARÂMETROS!$E:$F,2,FALSE))*$P245),"",AA245)))</f>
        <v>#N/A</v>
      </c>
      <c r="V245" s="237" t="e">
        <f>IF(AG245 = "", "", IF(OR($H245 = PARÂMETROS!$E$5, $H245 = ""), AG245, IF(OR(AG245 &lt; (1-VLOOKUP($H245,PARÂMETROS!$E:$F,2,FALSE))*$P250, AG245 &gt; (1+VLOOKUP($H245,PARÂMETROS!$E:$F,2,FALSE))*$P245),"",AG245)))</f>
        <v>#N/A</v>
      </c>
      <c r="W245" s="237" t="e">
        <f>IF(AM245 = "", "", IF(OR($H245 = PARÂMETROS!$E$5, $H245 = ""), AM245, IF(OR(AM245 &lt; (1-VLOOKUP($H245,PARÂMETROS!$E:$F,2,FALSE))*$P245, AM245 &gt; (1+VLOOKUP($H245,PARÂMETROS!$E:$F,2,FALSE))*$P245),"",AM245)))</f>
        <v>#N/A</v>
      </c>
      <c r="X245" s="237" t="e">
        <f>IF(AS245 = "", "", IF(OR($H245 = PARÂMETROS!$E$5, $H245 = ""), AS245, IF(OR(AS245 &lt; (1-VLOOKUP($H245,PARÂMETROS!$E:$F,2,FALSE))*$P245, AS245 &gt; (1+VLOOKUP($H245,PARÂMETROS!$E:$F,2,FALSE))*$P245),"",AS245)))</f>
        <v>#N/A</v>
      </c>
      <c r="Y245" s="237" t="str">
        <f>IF(AY245 = "", "", IF(OR($H245 = PARÂMETROS!$E$5, $H245 = ""), AY245, IF(OR(AY245 &lt; (1-VLOOKUP($H245,PARÂMETROS!$E:$F,2,FALSE))*$P245, AY245 &gt; (1+VLOOKUP($H245,PARÂMETROS!$E:$F,2,FALSE))*$P245),"",AY245)))</f>
        <v/>
      </c>
      <c r="Z245" s="237" t="str">
        <f>IF(BE245 = "", "", IF(OR($H245 = PARÂMETROS!$E$5, $H245 = ""), BE245, IF(OR(BE245 &lt; (1-VLOOKUP($H245,PARÂMETROS!$E:$F,2,FALSE))*$P245, BE245 &gt; (1+VLOOKUP($H245,PARÂMETROS!$E:$F,2,FALSE))*$P245),"",BE245)))</f>
        <v/>
      </c>
      <c r="AA245" s="207">
        <v>279.89999999999998</v>
      </c>
      <c r="AB245" s="208">
        <v>905</v>
      </c>
      <c r="AC245" s="206" t="e">
        <f>IF(AND(OR(AA245="",AA245=0),OR(AA245="",AB245=0)),"",IF(OR(AA245="",AA245=0),"DEFINIR PREÇO",IF(OR(AB245="",AB245=0),"DEFINIR FORNECEDOR",IF(OR(AA245&lt;&gt;"",AA245&lt;&gt;0),VLOOKUP(AB245,#REF!,2,FALSE)))))</f>
        <v>#REF!</v>
      </c>
      <c r="AD245" s="217" t="s">
        <v>1977</v>
      </c>
      <c r="AE245" s="218">
        <v>44923</v>
      </c>
      <c r="AF245" s="220" t="str">
        <f t="shared" ca="1" si="94"/>
        <v>DESATUALIZADA</v>
      </c>
      <c r="AG245" s="229">
        <v>429.9</v>
      </c>
      <c r="AH245" s="231">
        <v>859</v>
      </c>
      <c r="AI245" s="206" t="e">
        <f>IF(AND(OR(AG245="",AG245=0),OR(AG245="",AH245=0)),"",IF(OR(AG245="",AG245=0),"DEFINIR PREÇO",IF(OR(AH245="",AH245=0),"DEFINIR FORNECEDOR",IF(OR(AG245&lt;&gt;"",AG245&lt;&gt;0),VLOOKUP(AH245,#REF!,2,FALSE)))))</f>
        <v>#REF!</v>
      </c>
      <c r="AJ245" s="217" t="s">
        <v>1977</v>
      </c>
      <c r="AK245" s="218">
        <v>44923</v>
      </c>
      <c r="AL245" s="220" t="str">
        <f t="shared" ca="1" si="95"/>
        <v>DESATUALIZADA</v>
      </c>
      <c r="AM245" s="229">
        <v>429.9</v>
      </c>
      <c r="AN245" s="231">
        <v>2170</v>
      </c>
      <c r="AO245" s="206" t="e">
        <f>IF(AND(OR(AM245="",AM245=0),OR(AM245="",AN245=0)),"",IF(OR(AM245="",AM245=0),"DEFINIR PREÇO",IF(OR(AN245="",AN245=0),"DEFINIR FORNECEDOR",IF(OR(AM245&lt;&gt;"",AM245&lt;&gt;0),VLOOKUP(AN245,#REF!,2,FALSE)))))</f>
        <v>#REF!</v>
      </c>
      <c r="AP245" s="217" t="s">
        <v>1977</v>
      </c>
      <c r="AQ245" s="218">
        <v>44923</v>
      </c>
      <c r="AR245" s="220" t="str">
        <f t="shared" ca="1" si="96"/>
        <v>DESATUALIZADA</v>
      </c>
      <c r="AS245" s="229">
        <v>429.9</v>
      </c>
      <c r="AT245" s="231">
        <v>1883</v>
      </c>
      <c r="AU245" s="191" t="e">
        <f>IF(AND(OR(AS245="",AS245=0),OR(AS245="",AT245=0)),"",IF(OR(AS245="",AS245=0),"DEFINIR PREÇO",IF(OR(AT245="",AT245=0),"DEFINIR FORNECEDOR",IF(OR(AS245&lt;&gt;"",AS245&lt;&gt;0),VLOOKUP(AT245,#REF!,2,FALSE)))))</f>
        <v>#REF!</v>
      </c>
      <c r="AV245" s="217" t="s">
        <v>1977</v>
      </c>
      <c r="AW245" s="218">
        <v>44923</v>
      </c>
      <c r="AX245" s="220" t="str">
        <f t="shared" ca="1" si="97"/>
        <v>DESATUALIZADA</v>
      </c>
      <c r="AY245" s="195"/>
      <c r="AZ245" s="196"/>
      <c r="BA245" s="209" t="str">
        <f>IF(AND(OR(AY245="",AY245=0),OR(AY245="",AZ245=0)),"",IF(OR(AY245="",AY245=0),"DEFINIR PREÇO",IF(OR(AZ245="",AZ245=0),"DEFINIR FORNECEDOR",IF(OR(AY245&lt;&gt;"",AY245&lt;&gt;0),VLOOKUP(AZ245,#REF!,2,FALSE)))))</f>
        <v/>
      </c>
      <c r="BB245" s="194"/>
      <c r="BC245" s="194"/>
      <c r="BD245" s="220" t="str">
        <f t="shared" ca="1" si="98"/>
        <v/>
      </c>
      <c r="BE245" s="195"/>
      <c r="BF245" s="196"/>
      <c r="BG245" s="194"/>
      <c r="BH245" s="194"/>
      <c r="BI245" s="194"/>
      <c r="BJ245" s="197"/>
    </row>
    <row r="246" spans="1:62" ht="25.5" customHeight="1" x14ac:dyDescent="0.25">
      <c r="A246" s="44"/>
      <c r="B246" s="45"/>
      <c r="C246" s="45"/>
      <c r="D246" s="140" t="s">
        <v>472</v>
      </c>
      <c r="E246" s="45"/>
      <c r="F246" s="46"/>
      <c r="G246" s="47"/>
      <c r="H246" s="240" t="s">
        <v>2000</v>
      </c>
      <c r="I246" s="240" t="s">
        <v>2001</v>
      </c>
      <c r="J246" s="242" t="str">
        <f>IFERROR(IF(N246&lt;&gt;"",M246,IF(I246 = PARÂMETROS!$B$5,Q246, IF(I246 = PARÂMETROS!$B$6,R246,IF(I246 = PARÂMETROS!$B$7,S246,IF(I246 = PARÂMETROS!$B$8, T246,"DEFINIR CRITÉRIO"))))),"SEM PREÇO")</f>
        <v>DEFINIR CRITÉRIO</v>
      </c>
      <c r="K246" s="241" t="str">
        <f t="shared" si="87"/>
        <v/>
      </c>
      <c r="L246" s="238" t="str">
        <f t="shared" si="88"/>
        <v/>
      </c>
      <c r="M246" s="51"/>
      <c r="N246" s="52"/>
      <c r="O246" s="53"/>
      <c r="P246" s="235">
        <f t="shared" si="89"/>
        <v>56.225000000000001</v>
      </c>
      <c r="Q246" s="236">
        <f t="shared" si="90"/>
        <v>0</v>
      </c>
      <c r="R246" s="236">
        <f t="shared" si="91"/>
        <v>0</v>
      </c>
      <c r="S246" s="236">
        <f t="shared" si="92"/>
        <v>0</v>
      </c>
      <c r="T246" s="236">
        <f t="shared" si="93"/>
        <v>0</v>
      </c>
      <c r="U246" s="237" t="e">
        <f>IF(AA246 = "", "", IF(OR($H246 = PARÂMETROS!$E$5, $H246 = ""), AA246, IF(OR(AA246 &lt; (1-VLOOKUP($H246,PARÂMETROS!$E:$F,2,FALSE))*$P246, AA246 &gt; (1+VLOOKUP($H246,PARÂMETROS!$E:$F,2,FALSE))*$P246),"",AA246)))</f>
        <v>#N/A</v>
      </c>
      <c r="V246" s="237" t="e">
        <f>IF(AG246 = "", "", IF(OR($H246 = PARÂMETROS!$E$5, $H246 = ""), AG246, IF(OR(AG246 &lt; (1-VLOOKUP($H246,PARÂMETROS!$E:$F,2,FALSE))*#REF!, AG246 &gt; (1+VLOOKUP($H246,PARÂMETROS!$E:$F,2,FALSE))*$P246),"",AG246)))</f>
        <v>#N/A</v>
      </c>
      <c r="W246" s="237" t="e">
        <f>IF(AM246 = "", "", IF(OR($H246 = PARÂMETROS!$E$5, $H246 = ""), AM246, IF(OR(AM246 &lt; (1-VLOOKUP($H246,PARÂMETROS!$E:$F,2,FALSE))*$P246, AM246 &gt; (1+VLOOKUP($H246,PARÂMETROS!$E:$F,2,FALSE))*$P246),"",AM246)))</f>
        <v>#N/A</v>
      </c>
      <c r="X246" s="237" t="e">
        <f>IF(AS246 = "", "", IF(OR($H246 = PARÂMETROS!$E$5, $H246 = ""), AS246, IF(OR(AS246 &lt; (1-VLOOKUP($H246,PARÂMETROS!$E:$F,2,FALSE))*$P246, AS246 &gt; (1+VLOOKUP($H246,PARÂMETROS!$E:$F,2,FALSE))*$P246),"",AS246)))</f>
        <v>#N/A</v>
      </c>
      <c r="Y246" s="237" t="str">
        <f>IF(AY246 = "", "", IF(OR($H246 = PARÂMETROS!$E$5, $H246 = ""), AY246, IF(OR(AY246 &lt; (1-VLOOKUP($H246,PARÂMETROS!$E:$F,2,FALSE))*$P246, AY246 &gt; (1+VLOOKUP($H246,PARÂMETROS!$E:$F,2,FALSE))*$P246),"",AY246)))</f>
        <v/>
      </c>
      <c r="Z246" s="237" t="str">
        <f>IF(BE246 = "", "", IF(OR($H246 = PARÂMETROS!$E$5, $H246 = ""), BE246, IF(OR(BE246 &lt; (1-VLOOKUP($H246,PARÂMETROS!$E:$F,2,FALSE))*$P246, BE246 &gt; (1+VLOOKUP($H246,PARÂMETROS!$E:$F,2,FALSE))*$P246),"",BE246)))</f>
        <v/>
      </c>
      <c r="AA246" s="207">
        <v>42</v>
      </c>
      <c r="AB246" s="208">
        <v>863</v>
      </c>
      <c r="AC246" s="206" t="e">
        <f>IF(AND(OR(AA246="",AA246=0),OR(AA246="",AB246=0)),"",IF(OR(AA246="",AA246=0),"DEFINIR PREÇO",IF(OR(AB246="",AB246=0),"DEFINIR FORNECEDOR",IF(OR(AA246&lt;&gt;"",AA246&lt;&gt;0),VLOOKUP(AB246,#REF!,2,FALSE)))))</f>
        <v>#REF!</v>
      </c>
      <c r="AD246" s="217" t="s">
        <v>1977</v>
      </c>
      <c r="AE246" s="218">
        <v>44923</v>
      </c>
      <c r="AF246" s="220" t="str">
        <f t="shared" ca="1" si="94"/>
        <v>DESATUALIZADA</v>
      </c>
      <c r="AG246" s="229">
        <v>60</v>
      </c>
      <c r="AH246" s="231">
        <v>859</v>
      </c>
      <c r="AI246" s="206" t="e">
        <f>IF(AND(OR(AG246="",AG246=0),OR(AG246="",AH246=0)),"",IF(OR(AG246="",AG246=0),"DEFINIR PREÇO",IF(OR(AH246="",AH246=0),"DEFINIR FORNECEDOR",IF(OR(AG246&lt;&gt;"",AG246&lt;&gt;0),VLOOKUP(AH246,#REF!,2,FALSE)))))</f>
        <v>#REF!</v>
      </c>
      <c r="AJ246" s="217" t="s">
        <v>1977</v>
      </c>
      <c r="AK246" s="218">
        <v>44923</v>
      </c>
      <c r="AL246" s="220" t="str">
        <f t="shared" ca="1" si="95"/>
        <v>DESATUALIZADA</v>
      </c>
      <c r="AM246" s="229">
        <v>73</v>
      </c>
      <c r="AN246" s="231">
        <v>2170</v>
      </c>
      <c r="AO246" s="206" t="e">
        <f>IF(AND(OR(AM246="",AM246=0),OR(AM246="",AN246=0)),"",IF(OR(AM246="",AM246=0),"DEFINIR PREÇO",IF(OR(AN246="",AN246=0),"DEFINIR FORNECEDOR",IF(OR(AM246&lt;&gt;"",AM246&lt;&gt;0),VLOOKUP(AN246,#REF!,2,FALSE)))))</f>
        <v>#REF!</v>
      </c>
      <c r="AP246" s="217" t="s">
        <v>1977</v>
      </c>
      <c r="AQ246" s="218">
        <v>44923</v>
      </c>
      <c r="AR246" s="220" t="str">
        <f t="shared" ca="1" si="96"/>
        <v>DESATUALIZADA</v>
      </c>
      <c r="AS246" s="229">
        <v>49.9</v>
      </c>
      <c r="AT246" s="231">
        <v>1883</v>
      </c>
      <c r="AU246" s="194"/>
      <c r="AV246" s="217" t="s">
        <v>1977</v>
      </c>
      <c r="AW246" s="218">
        <v>44923</v>
      </c>
      <c r="AX246" s="220" t="str">
        <f t="shared" ca="1" si="97"/>
        <v>DESATUALIZADA</v>
      </c>
      <c r="AY246" s="195"/>
      <c r="AZ246" s="196"/>
      <c r="BA246" s="209" t="str">
        <f>IF(AND(OR(AY246="",AY246=0),OR(AY246="",AZ246=0)),"",IF(OR(AY246="",AY246=0),"DEFINIR PREÇO",IF(OR(AZ246="",AZ246=0),"DEFINIR FORNECEDOR",IF(OR(AY246&lt;&gt;"",AY246&lt;&gt;0),VLOOKUP(AZ246,#REF!,2,FALSE)))))</f>
        <v/>
      </c>
      <c r="BB246" s="194"/>
      <c r="BC246" s="194"/>
      <c r="BD246" s="220" t="str">
        <f t="shared" ca="1" si="98"/>
        <v/>
      </c>
      <c r="BE246" s="195"/>
      <c r="BF246" s="196"/>
      <c r="BG246" s="194" t="str">
        <f>IF(AND(OR(BE246="",BE246=0),OR(BE246="",BF246=0)),"",IF(OR(BE246="",BE246=0),"DEFINIR PREÇO",IF(OR(BF246="",BF246=0),"DEFINIR FORNECEDOR",IF(OR(BE246&lt;&gt;"",BE246&lt;&gt;0),VLOOKUP(BF246,#REF!,2,FALSE)))))</f>
        <v/>
      </c>
      <c r="BH246" s="194"/>
      <c r="BI246" s="194"/>
      <c r="BJ246" s="200"/>
    </row>
    <row r="247" spans="1:62" ht="25.5" customHeight="1" x14ac:dyDescent="0.25">
      <c r="A247" s="44"/>
      <c r="B247" s="45"/>
      <c r="C247" s="45"/>
      <c r="D247" s="140" t="s">
        <v>473</v>
      </c>
      <c r="E247" s="45"/>
      <c r="F247" s="46"/>
      <c r="G247" s="47"/>
      <c r="H247" s="240" t="s">
        <v>2000</v>
      </c>
      <c r="I247" s="240" t="s">
        <v>1999</v>
      </c>
      <c r="J247" s="242" t="str">
        <f>IFERROR(IF(N247&lt;&gt;"",M247,IF(I247 = PARÂMETROS!$B$5,Q247, IF(I247 = PARÂMETROS!$B$6,R247,IF(I247 = PARÂMETROS!$B$7,S247,IF(I247 = PARÂMETROS!$B$8, T247,"DEFINIR CRITÉRIO"))))),"SEM PREÇO")</f>
        <v>DEFINIR CRITÉRIO</v>
      </c>
      <c r="K247" s="241" t="str">
        <f t="shared" si="87"/>
        <v/>
      </c>
      <c r="L247" s="238" t="str">
        <f t="shared" si="88"/>
        <v/>
      </c>
      <c r="M247" s="51"/>
      <c r="N247" s="52"/>
      <c r="O247" s="53"/>
      <c r="P247" s="235">
        <f t="shared" si="89"/>
        <v>102.42249999999999</v>
      </c>
      <c r="Q247" s="236">
        <f t="shared" si="90"/>
        <v>0</v>
      </c>
      <c r="R247" s="236">
        <f t="shared" si="91"/>
        <v>0</v>
      </c>
      <c r="S247" s="236">
        <f t="shared" si="92"/>
        <v>0</v>
      </c>
      <c r="T247" s="236">
        <f t="shared" si="93"/>
        <v>0</v>
      </c>
      <c r="U247" s="237" t="e">
        <f>IF(AA247 = "", "", IF(OR($H247 = PARÂMETROS!$E$5, $H247 = ""), AA247, IF(OR(AA247 &lt; (1-VLOOKUP($H247,PARÂMETROS!$E:$F,2,FALSE))*$P247, AA247 &gt; (1+VLOOKUP($H247,PARÂMETROS!$E:$F,2,FALSE))*$P247),"",AA247)))</f>
        <v>#N/A</v>
      </c>
      <c r="V247" s="237" t="e">
        <f>IF(AG247 = "", "", IF(OR($H247 = PARÂMETROS!$E$5, $H247 = ""), AG247, IF(OR(AG247 &lt; (1-VLOOKUP($H247,PARÂMETROS!$E:$F,2,FALSE))*$P251, AG247 &gt; (1+VLOOKUP($H247,PARÂMETROS!$E:$F,2,FALSE))*$P247),"",AG247)))</f>
        <v>#N/A</v>
      </c>
      <c r="W247" s="237" t="e">
        <f>IF(AM247 = "", "", IF(OR($H247 = PARÂMETROS!$E$5, $H247 = ""), AM247, IF(OR(AM247 &lt; (1-VLOOKUP($H247,PARÂMETROS!$E:$F,2,FALSE))*$P247, AM247 &gt; (1+VLOOKUP($H247,PARÂMETROS!$E:$F,2,FALSE))*$P247),"",AM247)))</f>
        <v>#N/A</v>
      </c>
      <c r="X247" s="237" t="e">
        <f>IF(AS247 = "", "", IF(OR($H247 = PARÂMETROS!$E$5, $H247 = ""), AS247, IF(OR(AS247 &lt; (1-VLOOKUP($H247,PARÂMETROS!$E:$F,2,FALSE))*$P247, AS247 &gt; (1+VLOOKUP($H247,PARÂMETROS!$E:$F,2,FALSE))*$P247),"",AS247)))</f>
        <v>#N/A</v>
      </c>
      <c r="Y247" s="237" t="str">
        <f>IF(AY247 = "", "", IF(OR($H247 = PARÂMETROS!$E$5, $H247 = ""), AY247, IF(OR(AY247 &lt; (1-VLOOKUP($H247,PARÂMETROS!$E:$F,2,FALSE))*$P247, AY247 &gt; (1+VLOOKUP($H247,PARÂMETROS!$E:$F,2,FALSE))*$P247),"",AY247)))</f>
        <v/>
      </c>
      <c r="Z247" s="237" t="str">
        <f>IF(BE247 = "", "", IF(OR($H247 = PARÂMETROS!$E$5, $H247 = ""), BE247, IF(OR(BE247 &lt; (1-VLOOKUP($H247,PARÂMETROS!$E:$F,2,FALSE))*$P247, BE247 &gt; (1+VLOOKUP($H247,PARÂMETROS!$E:$F,2,FALSE))*$P247),"",BE247)))</f>
        <v/>
      </c>
      <c r="AA247" s="207">
        <v>119.9</v>
      </c>
      <c r="AB247" s="208">
        <v>863</v>
      </c>
      <c r="AC247" s="206" t="e">
        <f>IF(AND(OR(AA247="",AA247=0),OR(AA247="",AB247=0)),"",IF(OR(AA247="",AA247=0),"DEFINIR PREÇO",IF(OR(AB247="",AB247=0),"DEFINIR FORNECEDOR",IF(OR(AA247&lt;&gt;"",AA247&lt;&gt;0),VLOOKUP(AB247,#REF!,2,FALSE)))))</f>
        <v>#REF!</v>
      </c>
      <c r="AD247" s="217" t="s">
        <v>1977</v>
      </c>
      <c r="AE247" s="218">
        <v>44923</v>
      </c>
      <c r="AF247" s="220" t="str">
        <f t="shared" ca="1" si="94"/>
        <v>DESATUALIZADA</v>
      </c>
      <c r="AG247" s="229">
        <v>79.989999999999995</v>
      </c>
      <c r="AH247" s="231">
        <v>859</v>
      </c>
      <c r="AI247" s="206" t="e">
        <f>IF(AND(OR(AG247="",AG247=0),OR(AG247="",AH247=0)),"",IF(OR(AG247="",AG247=0),"DEFINIR PREÇO",IF(OR(AH247="",AH247=0),"DEFINIR FORNECEDOR",IF(OR(AG247&lt;&gt;"",AG247&lt;&gt;0),VLOOKUP(AH247,#REF!,2,FALSE)))))</f>
        <v>#REF!</v>
      </c>
      <c r="AJ247" s="217" t="s">
        <v>1977</v>
      </c>
      <c r="AK247" s="218">
        <v>44923</v>
      </c>
      <c r="AL247" s="220" t="str">
        <f t="shared" ca="1" si="95"/>
        <v>DESATUALIZADA</v>
      </c>
      <c r="AM247" s="229">
        <v>109.9</v>
      </c>
      <c r="AN247" s="231">
        <v>2170</v>
      </c>
      <c r="AO247" s="206" t="e">
        <f>IF(AND(OR(AM247="",AM247=0),OR(AM247="",AN247=0)),"",IF(OR(AM247="",AM247=0),"DEFINIR PREÇO",IF(OR(AN247="",AN247=0),"DEFINIR FORNECEDOR",IF(OR(AM247&lt;&gt;"",AM247&lt;&gt;0),VLOOKUP(AN247,#REF!,2,FALSE)))))</f>
        <v>#REF!</v>
      </c>
      <c r="AP247" s="217" t="s">
        <v>1977</v>
      </c>
      <c r="AQ247" s="218">
        <v>44923</v>
      </c>
      <c r="AR247" s="220" t="str">
        <f t="shared" ca="1" si="96"/>
        <v>DESATUALIZADA</v>
      </c>
      <c r="AS247" s="229">
        <v>99.9</v>
      </c>
      <c r="AT247" s="231">
        <v>1883</v>
      </c>
      <c r="AU247" s="191" t="e">
        <f>IF(AND(OR(AS247="",AS247=0),OR(AS247="",AT247=0)),"",IF(OR(AS247="",AS247=0),"DEFINIR PREÇO",IF(OR(AT247="",AT247=0),"DEFINIR FORNECEDOR",IF(OR(AS247&lt;&gt;"",AS247&lt;&gt;0),VLOOKUP(AT247,#REF!,2,FALSE)))))</f>
        <v>#REF!</v>
      </c>
      <c r="AV247" s="217" t="s">
        <v>1977</v>
      </c>
      <c r="AW247" s="218">
        <v>44923</v>
      </c>
      <c r="AX247" s="220" t="str">
        <f t="shared" ca="1" si="97"/>
        <v>DESATUALIZADA</v>
      </c>
      <c r="AY247" s="195"/>
      <c r="AZ247" s="196"/>
      <c r="BA247" s="209" t="str">
        <f>IF(AND(OR(AY247="",AY247=0),OR(AY247="",AZ247=0)),"",IF(OR(AY247="",AY247=0),"DEFINIR PREÇO",IF(OR(AZ247="",AZ247=0),"DEFINIR FORNECEDOR",IF(OR(AY247&lt;&gt;"",AY247&lt;&gt;0),VLOOKUP(AZ247,#REF!,2,FALSE)))))</f>
        <v/>
      </c>
      <c r="BB247" s="194"/>
      <c r="BC247" s="194"/>
      <c r="BD247" s="220" t="str">
        <f t="shared" ca="1" si="98"/>
        <v/>
      </c>
      <c r="BE247" s="195"/>
      <c r="BF247" s="196"/>
      <c r="BG247" s="194" t="str">
        <f>IF(AND(OR(BE247="",BE247=0),OR(BE247="",BF247=0)),"",IF(OR(BE247="",BE247=0),"DEFINIR PREÇO",IF(OR(BF247="",BF247=0),"DEFINIR FORNECEDOR",IF(OR(BE247&lt;&gt;"",BE247&lt;&gt;0),VLOOKUP(BF247,#REF!,2,FALSE)))))</f>
        <v/>
      </c>
      <c r="BH247" s="194"/>
      <c r="BI247" s="194"/>
      <c r="BJ247" s="200"/>
    </row>
    <row r="248" spans="1:62" ht="25.5" customHeight="1" x14ac:dyDescent="0.25">
      <c r="A248" s="44"/>
      <c r="B248" s="45"/>
      <c r="C248" s="45"/>
      <c r="D248" s="140" t="s">
        <v>1278</v>
      </c>
      <c r="E248" s="45"/>
      <c r="F248" s="46"/>
      <c r="G248" s="47"/>
      <c r="H248" s="240" t="s">
        <v>2000</v>
      </c>
      <c r="I248" s="240" t="s">
        <v>2001</v>
      </c>
      <c r="J248" s="242" t="str">
        <f>IFERROR(IF(N248&lt;&gt;"",M248,IF(I248 = PARÂMETROS!$B$5,Q248, IF(I248 = PARÂMETROS!$B$6,R248,IF(I248 = PARÂMETROS!$B$7,S248,IF(I248 = PARÂMETROS!$B$8, T248,"DEFINIR CRITÉRIO"))))),"SEM PREÇO")</f>
        <v>DEFINIR CRITÉRIO</v>
      </c>
      <c r="K248" s="241" t="str">
        <f t="shared" si="87"/>
        <v/>
      </c>
      <c r="L248" s="238" t="str">
        <f t="shared" si="88"/>
        <v/>
      </c>
      <c r="M248" s="51"/>
      <c r="N248" s="52"/>
      <c r="O248" s="53"/>
      <c r="P248" s="235">
        <f t="shared" si="89"/>
        <v>104.42249999999999</v>
      </c>
      <c r="Q248" s="236">
        <f t="shared" si="90"/>
        <v>0</v>
      </c>
      <c r="R248" s="236">
        <f t="shared" si="91"/>
        <v>0</v>
      </c>
      <c r="S248" s="236">
        <f t="shared" si="92"/>
        <v>0</v>
      </c>
      <c r="T248" s="236">
        <f t="shared" si="93"/>
        <v>0</v>
      </c>
      <c r="U248" s="237" t="e">
        <f>IF(AA248 = "", "", IF(OR($H248 = PARÂMETROS!$E$5, $H248 = ""), AA248, IF(OR(AA248 &lt; (1-VLOOKUP($H248,PARÂMETROS!$E:$F,2,FALSE))*$P248, AA248 &gt; (1+VLOOKUP($H248,PARÂMETROS!$E:$F,2,FALSE))*$P248),"",AA248)))</f>
        <v>#N/A</v>
      </c>
      <c r="V248" s="237" t="e">
        <f>IF(AG248 = "", "", IF(OR($H248 = PARÂMETROS!$E$5, $H248 = ""), AG248, IF(OR(AG248 &lt; (1-VLOOKUP($H248,PARÂMETROS!$E:$F,2,FALSE))*$P252, AG248 &gt; (1+VLOOKUP($H248,PARÂMETROS!$E:$F,2,FALSE))*$P248),"",AG248)))</f>
        <v>#N/A</v>
      </c>
      <c r="W248" s="237" t="e">
        <f>IF(AM248 = "", "", IF(OR($H248 = PARÂMETROS!$E$5, $H248 = ""), AM248, IF(OR(AM248 &lt; (1-VLOOKUP($H248,PARÂMETROS!$E:$F,2,FALSE))*$P248, AM248 &gt; (1+VLOOKUP($H248,PARÂMETROS!$E:$F,2,FALSE))*$P248),"",AM248)))</f>
        <v>#N/A</v>
      </c>
      <c r="X248" s="237" t="e">
        <f>IF(AS248 = "", "", IF(OR($H248 = PARÂMETROS!$E$5, $H248 = ""), AS248, IF(OR(AS248 &lt; (1-VLOOKUP($H248,PARÂMETROS!$E:$F,2,FALSE))*$P248, AS248 &gt; (1+VLOOKUP($H248,PARÂMETROS!$E:$F,2,FALSE))*$P248),"",AS248)))</f>
        <v>#N/A</v>
      </c>
      <c r="Y248" s="237" t="str">
        <f>IF(AY248 = "", "", IF(OR($H248 = PARÂMETROS!$E$5, $H248 = ""), AY248, IF(OR(AY248 &lt; (1-VLOOKUP($H248,PARÂMETROS!$E:$F,2,FALSE))*$P248, AY248 &gt; (1+VLOOKUP($H248,PARÂMETROS!$E:$F,2,FALSE))*$P248),"",AY248)))</f>
        <v/>
      </c>
      <c r="Z248" s="237" t="str">
        <f>IF(BE248 = "", "", IF(OR($H248 = PARÂMETROS!$E$5, $H248 = ""), BE248, IF(OR(BE248 &lt; (1-VLOOKUP($H248,PARÂMETROS!$E:$F,2,FALSE))*$P248, BE248 &gt; (1+VLOOKUP($H248,PARÂMETROS!$E:$F,2,FALSE))*$P248),"",BE248)))</f>
        <v/>
      </c>
      <c r="AA248" s="207">
        <v>137.9</v>
      </c>
      <c r="AB248" s="208">
        <v>863</v>
      </c>
      <c r="AC248" s="206" t="e">
        <f>IF(AND(OR(AA248="",AA248=0),OR(AA248="",AB248=0)),"",IF(OR(AA248="",AA248=0),"DEFINIR PREÇO",IF(OR(AB248="",AB248=0),"DEFINIR FORNECEDOR",IF(OR(AA248&lt;&gt;"",AA248&lt;&gt;0),VLOOKUP(AB248,#REF!,2,FALSE)))))</f>
        <v>#REF!</v>
      </c>
      <c r="AD248" s="217" t="s">
        <v>1977</v>
      </c>
      <c r="AE248" s="218">
        <v>44923</v>
      </c>
      <c r="AF248" s="220" t="str">
        <f t="shared" ca="1" si="94"/>
        <v>DESATUALIZADA</v>
      </c>
      <c r="AG248" s="229">
        <v>89.99</v>
      </c>
      <c r="AH248" s="231">
        <v>859</v>
      </c>
      <c r="AI248" s="206" t="e">
        <f>IF(AND(OR(AG248="",AG248=0),OR(AG248="",AH248=0)),"",IF(OR(AG248="",AG248=0),"DEFINIR PREÇO",IF(OR(AH248="",AH248=0),"DEFINIR FORNECEDOR",IF(OR(AG248&lt;&gt;"",AG248&lt;&gt;0),VLOOKUP(AH248,#REF!,2,FALSE)))))</f>
        <v>#REF!</v>
      </c>
      <c r="AJ248" s="217" t="s">
        <v>1977</v>
      </c>
      <c r="AK248" s="218">
        <v>44923</v>
      </c>
      <c r="AL248" s="220" t="str">
        <f t="shared" ca="1" si="95"/>
        <v>DESATUALIZADA</v>
      </c>
      <c r="AM248" s="229">
        <v>89.9</v>
      </c>
      <c r="AN248" s="231">
        <v>2170</v>
      </c>
      <c r="AO248" s="206" t="e">
        <f>IF(AND(OR(AM248="",AM248=0),OR(AM248="",AN248=0)),"",IF(OR(AM248="",AM248=0),"DEFINIR PREÇO",IF(OR(AN248="",AN248=0),"DEFINIR FORNECEDOR",IF(OR(AM248&lt;&gt;"",AM248&lt;&gt;0),VLOOKUP(AN248,#REF!,2,FALSE)))))</f>
        <v>#REF!</v>
      </c>
      <c r="AP248" s="217" t="s">
        <v>1977</v>
      </c>
      <c r="AQ248" s="218">
        <v>44923</v>
      </c>
      <c r="AR248" s="220" t="str">
        <f t="shared" ca="1" si="96"/>
        <v>DESATUALIZADA</v>
      </c>
      <c r="AS248" s="229">
        <v>99.9</v>
      </c>
      <c r="AT248" s="231">
        <v>1883</v>
      </c>
      <c r="AU248" s="191" t="e">
        <f>IF(AND(OR(AS248="",AS248=0),OR(AS248="",AT248=0)),"",IF(OR(AS248="",AS248=0),"DEFINIR PREÇO",IF(OR(AT248="",AT248=0),"DEFINIR FORNECEDOR",IF(OR(AS248&lt;&gt;"",AS248&lt;&gt;0),VLOOKUP(AT248,#REF!,2,FALSE)))))</f>
        <v>#REF!</v>
      </c>
      <c r="AV248" s="217" t="s">
        <v>1977</v>
      </c>
      <c r="AW248" s="218">
        <v>44923</v>
      </c>
      <c r="AX248" s="220" t="str">
        <f t="shared" ca="1" si="97"/>
        <v>DESATUALIZADA</v>
      </c>
      <c r="AY248" s="195"/>
      <c r="AZ248" s="196"/>
      <c r="BA248" s="209" t="str">
        <f>IF(AND(OR(AY248="",AY248=0),OR(AY248="",AZ248=0)),"",IF(OR(AY248="",AY248=0),"DEFINIR PREÇO",IF(OR(AZ248="",AZ248=0),"DEFINIR FORNECEDOR",IF(OR(AY248&lt;&gt;"",AY248&lt;&gt;0),VLOOKUP(AZ248,#REF!,2,FALSE)))))</f>
        <v/>
      </c>
      <c r="BB248" s="194"/>
      <c r="BC248" s="194"/>
      <c r="BD248" s="220" t="str">
        <f t="shared" ca="1" si="98"/>
        <v/>
      </c>
      <c r="BE248" s="195"/>
      <c r="BF248" s="196"/>
      <c r="BG248" s="194" t="str">
        <f>IF(AND(OR(BE248="",BE248=0),OR(BE248="",BF248=0)),"",IF(OR(BE248="",BE248=0),"DEFINIR PREÇO",IF(OR(BF248="",BF248=0),"DEFINIR FORNECEDOR",IF(OR(BE248&lt;&gt;"",BE248&lt;&gt;0),VLOOKUP(BF248,#REF!,2,FALSE)))))</f>
        <v/>
      </c>
      <c r="BH248" s="194"/>
      <c r="BI248" s="194"/>
      <c r="BJ248" s="200"/>
    </row>
    <row r="249" spans="1:62" ht="25.5" customHeight="1" x14ac:dyDescent="0.25">
      <c r="A249" s="44"/>
      <c r="B249" s="45"/>
      <c r="C249" s="45"/>
      <c r="D249" s="140" t="s">
        <v>1277</v>
      </c>
      <c r="E249" s="45"/>
      <c r="F249" s="46"/>
      <c r="G249" s="47"/>
      <c r="H249" s="240" t="s">
        <v>2000</v>
      </c>
      <c r="I249" s="240" t="s">
        <v>2001</v>
      </c>
      <c r="J249" s="242" t="str">
        <f>IFERROR(IF(N249&lt;&gt;"",M249,IF(I249 = PARÂMETROS!$B$5,Q249, IF(I249 = PARÂMETROS!$B$6,R249,IF(I249 = PARÂMETROS!$B$7,S249,IF(I249 = PARÂMETROS!$B$8, T249,"DEFINIR CRITÉRIO"))))),"SEM PREÇO")</f>
        <v>DEFINIR CRITÉRIO</v>
      </c>
      <c r="K249" s="241" t="str">
        <f t="shared" si="87"/>
        <v/>
      </c>
      <c r="L249" s="238" t="str">
        <f t="shared" si="88"/>
        <v/>
      </c>
      <c r="M249" s="51"/>
      <c r="N249" s="52"/>
      <c r="O249" s="53"/>
      <c r="P249" s="235">
        <f t="shared" si="89"/>
        <v>10.53</v>
      </c>
      <c r="Q249" s="236">
        <f t="shared" si="90"/>
        <v>0</v>
      </c>
      <c r="R249" s="236">
        <f t="shared" si="91"/>
        <v>0</v>
      </c>
      <c r="S249" s="236">
        <f t="shared" si="92"/>
        <v>0</v>
      </c>
      <c r="T249" s="236">
        <f t="shared" si="93"/>
        <v>0</v>
      </c>
      <c r="U249" s="237" t="e">
        <f>IF(AA249 = "", "", IF(OR($H249 = PARÂMETROS!$E$5, $H249 = ""), AA249, IF(OR(AA249 &lt; (1-VLOOKUP($H249,PARÂMETROS!$E:$F,2,FALSE))*$P249, AA249 &gt; (1+VLOOKUP($H249,PARÂMETROS!$E:$F,2,FALSE))*$P249),"",AA249)))</f>
        <v>#N/A</v>
      </c>
      <c r="V249" s="237" t="e">
        <f>IF(AG249 = "", "", IF(OR($H249 = PARÂMETROS!$E$5, $H249 = ""), AG249, IF(OR(AG249 &lt; (1-VLOOKUP($H249,PARÂMETROS!$E:$F,2,FALSE))*$P253, AG249 &gt; (1+VLOOKUP($H249,PARÂMETROS!$E:$F,2,FALSE))*$P249),"",AG249)))</f>
        <v>#N/A</v>
      </c>
      <c r="W249" s="237" t="e">
        <f>IF(AM249 = "", "", IF(OR($H249 = PARÂMETROS!$E$5, $H249 = ""), AM249, IF(OR(AM249 &lt; (1-VLOOKUP($H249,PARÂMETROS!$E:$F,2,FALSE))*$P249, AM249 &gt; (1+VLOOKUP($H249,PARÂMETROS!$E:$F,2,FALSE))*$P249),"",AM249)))</f>
        <v>#N/A</v>
      </c>
      <c r="X249" s="237" t="str">
        <f>IF(AS249 = "", "", IF(OR($H249 = PARÂMETROS!$E$5, $H249 = ""), AS249, IF(OR(AS249 &lt; (1-VLOOKUP($H249,PARÂMETROS!$E:$F,2,FALSE))*$P249, AS249 &gt; (1+VLOOKUP($H249,PARÂMETROS!$E:$F,2,FALSE))*$P249),"",AS249)))</f>
        <v/>
      </c>
      <c r="Y249" s="237" t="str">
        <f>IF(AY249 = "", "", IF(OR($H249 = PARÂMETROS!$E$5, $H249 = ""), AY249, IF(OR(AY249 &lt; (1-VLOOKUP($H249,PARÂMETROS!$E:$F,2,FALSE))*$P249, AY249 &gt; (1+VLOOKUP($H249,PARÂMETROS!$E:$F,2,FALSE))*$P249),"",AY249)))</f>
        <v/>
      </c>
      <c r="Z249" s="237" t="str">
        <f>IF(BE249 = "", "", IF(OR($H249 = PARÂMETROS!$E$5, $H249 = ""), BE249, IF(OR(BE249 &lt; (1-VLOOKUP($H249,PARÂMETROS!$E:$F,2,FALSE))*$P249, BE249 &gt; (1+VLOOKUP($H249,PARÂMETROS!$E:$F,2,FALSE))*$P249),"",BE249)))</f>
        <v/>
      </c>
      <c r="AA249" s="207">
        <v>15.69</v>
      </c>
      <c r="AB249" s="208">
        <v>863</v>
      </c>
      <c r="AC249" s="206" t="e">
        <f>IF(AND(OR(AA249="",AA249=0),OR(AA249="",AB249=0)),"",IF(OR(AA249="",AA249=0),"DEFINIR PREÇO",IF(OR(AB249="",AB249=0),"DEFINIR FORNECEDOR",IF(OR(AA249&lt;&gt;"",AA249&lt;&gt;0),VLOOKUP(AB249,#REF!,2,FALSE)))))</f>
        <v>#REF!</v>
      </c>
      <c r="AD249" s="217" t="s">
        <v>1977</v>
      </c>
      <c r="AE249" s="218">
        <v>44923</v>
      </c>
      <c r="AF249" s="220" t="str">
        <f t="shared" ca="1" si="94"/>
        <v>DESATUALIZADA</v>
      </c>
      <c r="AG249" s="229">
        <v>6</v>
      </c>
      <c r="AH249" s="231">
        <v>1883</v>
      </c>
      <c r="AI249" s="206" t="e">
        <f>IF(AND(OR(AG249="",AG249=0),OR(AG249="",AH249=0)),"",IF(OR(AG249="",AG249=0),"DEFINIR PREÇO",IF(OR(AH249="",AH249=0),"DEFINIR FORNECEDOR",IF(OR(AG249&lt;&gt;"",AG249&lt;&gt;0),VLOOKUP(AH249,#REF!,2,FALSE)))))</f>
        <v>#REF!</v>
      </c>
      <c r="AJ249" s="217" t="s">
        <v>1977</v>
      </c>
      <c r="AK249" s="218">
        <v>44923</v>
      </c>
      <c r="AL249" s="220" t="str">
        <f t="shared" ca="1" si="95"/>
        <v>DESATUALIZADA</v>
      </c>
      <c r="AM249" s="229">
        <v>9.9</v>
      </c>
      <c r="AN249" s="231">
        <v>2170</v>
      </c>
      <c r="AO249" s="206" t="e">
        <f>IF(AND(OR(AM249="",AM249=0),OR(AM249="",AN249=0)),"",IF(OR(AM249="",AM249=0),"DEFINIR PREÇO",IF(OR(AN249="",AN249=0),"DEFINIR FORNECEDOR",IF(OR(AM249&lt;&gt;"",AM249&lt;&gt;0),VLOOKUP(AN249,#REF!,2,FALSE)))))</f>
        <v>#REF!</v>
      </c>
      <c r="AP249" s="217" t="s">
        <v>1977</v>
      </c>
      <c r="AQ249" s="218">
        <v>44923</v>
      </c>
      <c r="AR249" s="220" t="str">
        <f t="shared" ca="1" si="96"/>
        <v>DESATUALIZADA</v>
      </c>
      <c r="AS249" s="229"/>
      <c r="AT249" s="231"/>
      <c r="AU249" s="191" t="str">
        <f>IF(AND(OR(AS249="",AS249=0),OR(AS249="",AT249=0)),"",IF(OR(AS249="",AS249=0),"DEFINIR PREÇO",IF(OR(AT249="",AT249=0),"DEFINIR FORNECEDOR",IF(OR(AS249&lt;&gt;"",AS249&lt;&gt;0),VLOOKUP(AT249,#REF!,2,FALSE)))))</f>
        <v/>
      </c>
      <c r="AV249" s="217"/>
      <c r="AW249" s="218"/>
      <c r="AX249" s="220" t="str">
        <f t="shared" ca="1" si="97"/>
        <v/>
      </c>
      <c r="AY249" s="195"/>
      <c r="AZ249" s="196"/>
      <c r="BA249" s="209" t="str">
        <f>IF(AND(OR(AY249="",AY249=0),OR(AY249="",AZ249=0)),"",IF(OR(AY249="",AY249=0),"DEFINIR PREÇO",IF(OR(AZ249="",AZ249=0),"DEFINIR FORNECEDOR",IF(OR(AY249&lt;&gt;"",AY249&lt;&gt;0),VLOOKUP(AZ249,#REF!,2,FALSE)))))</f>
        <v/>
      </c>
      <c r="BB249" s="194"/>
      <c r="BC249" s="194"/>
      <c r="BD249" s="220" t="str">
        <f t="shared" ca="1" si="98"/>
        <v/>
      </c>
      <c r="BE249" s="195"/>
      <c r="BF249" s="196"/>
      <c r="BG249" s="194"/>
      <c r="BH249" s="194"/>
      <c r="BI249" s="194"/>
      <c r="BJ249" s="197"/>
    </row>
    <row r="250" spans="1:62" ht="30" x14ac:dyDescent="0.25">
      <c r="A250" s="44" t="s">
        <v>405</v>
      </c>
      <c r="B250" s="58" t="s">
        <v>457</v>
      </c>
      <c r="C250" s="45"/>
      <c r="D250" s="140" t="s">
        <v>458</v>
      </c>
      <c r="E250" s="45" t="s">
        <v>79</v>
      </c>
      <c r="F250" s="158" t="str">
        <f>J250</f>
        <v>DEFINIR CRITÉRIO</v>
      </c>
      <c r="G250" s="159" t="str">
        <f>J250</f>
        <v>DEFINIR CRITÉRIO</v>
      </c>
      <c r="H250" s="240" t="s">
        <v>2000</v>
      </c>
      <c r="I250" s="240" t="s">
        <v>1999</v>
      </c>
      <c r="J250" s="242" t="str">
        <f>IFERROR(IF(N250&lt;&gt;"",M250,IF(I250 = PARÂMETROS!$B$5,Q250, IF(I250 = PARÂMETROS!$B$6,R250,IF(I250 = PARÂMETROS!$B$7,S250,IF(I250 = PARÂMETROS!$B$8, T250,"DEFINIR CRITÉRIO"))))),"SEM PREÇO")</f>
        <v>DEFINIR CRITÉRIO</v>
      </c>
      <c r="K250" s="241" t="str">
        <f t="shared" si="87"/>
        <v/>
      </c>
      <c r="L250" s="238" t="str">
        <f t="shared" si="88"/>
        <v/>
      </c>
      <c r="M250" s="51"/>
      <c r="N250" s="52"/>
      <c r="O250" s="53"/>
      <c r="P250" s="235">
        <f t="shared" si="89"/>
        <v>106.96</v>
      </c>
      <c r="Q250" s="236">
        <f t="shared" si="90"/>
        <v>0</v>
      </c>
      <c r="R250" s="236">
        <f t="shared" si="91"/>
        <v>0</v>
      </c>
      <c r="S250" s="236">
        <f t="shared" si="92"/>
        <v>0</v>
      </c>
      <c r="T250" s="236">
        <f t="shared" si="93"/>
        <v>0</v>
      </c>
      <c r="U250" s="237" t="e">
        <f>IF(AA250 = "", "", IF(OR($H250 = PARÂMETROS!$E$5, $H250 = ""), AA250, IF(OR(AA250 &lt; (1-VLOOKUP($H250,PARÂMETROS!$E:$F,2,FALSE))*$P250, AA250 &gt; (1+VLOOKUP($H250,PARÂMETROS!$E:$F,2,FALSE))*$P250),"",AA250)))</f>
        <v>#N/A</v>
      </c>
      <c r="V250" s="237" t="e">
        <f>IF(AG250 = "", "", IF(OR($H250 = PARÂMETROS!$E$5, $H250 = ""), AG250, IF(OR(AG250 &lt; (1-VLOOKUP($H250,PARÂMETROS!$E:$F,2,FALSE))*$P254, AG250 &gt; (1+VLOOKUP($H250,PARÂMETROS!$E:$F,2,FALSE))*$P250),"",AG250)))</f>
        <v>#N/A</v>
      </c>
      <c r="W250" s="237" t="e">
        <f>IF(AM250 = "", "", IF(OR($H250 = PARÂMETROS!$E$5, $H250 = ""), AM250, IF(OR(AM250 &lt; (1-VLOOKUP($H250,PARÂMETROS!$E:$F,2,FALSE))*$P250, AM250 &gt; (1+VLOOKUP($H250,PARÂMETROS!$E:$F,2,FALSE))*$P250),"",AM250)))</f>
        <v>#N/A</v>
      </c>
      <c r="X250" s="237" t="str">
        <f>IF(AS250 = "", "", IF(OR($H250 = PARÂMETROS!$E$5, $H250 = ""), AS250, IF(OR(AS250 &lt; (1-VLOOKUP($H250,PARÂMETROS!$E:$F,2,FALSE))*$P250, AS250 &gt; (1+VLOOKUP($H250,PARÂMETROS!$E:$F,2,FALSE))*$P250),"",AS250)))</f>
        <v/>
      </c>
      <c r="Y250" s="237" t="str">
        <f>IF(AY250 = "", "", IF(OR($H250 = PARÂMETROS!$E$5, $H250 = ""), AY250, IF(OR(AY250 &lt; (1-VLOOKUP($H250,PARÂMETROS!$E:$F,2,FALSE))*$P250, AY250 &gt; (1+VLOOKUP($H250,PARÂMETROS!$E:$F,2,FALSE))*$P250),"",AY250)))</f>
        <v/>
      </c>
      <c r="Z250" s="237" t="str">
        <f>IF(BE250 = "", "", IF(OR($H250 = PARÂMETROS!$E$5, $H250 = ""), BE250, IF(OR(BE250 &lt; (1-VLOOKUP($H250,PARÂMETROS!$E:$F,2,FALSE))*$P250, BE250 &gt; (1+VLOOKUP($H250,PARÂMETROS!$E:$F,2,FALSE))*$P250),"",BE250)))</f>
        <v/>
      </c>
      <c r="AA250" s="207">
        <v>110.99</v>
      </c>
      <c r="AB250" s="208">
        <v>604</v>
      </c>
      <c r="AC250" s="206" t="e">
        <f>IF(AND(OR(AA250="",AA250=0),OR(AA250="",AB250=0)),"",IF(OR(AA250="",AA250=0),"DEFINIR PREÇO",IF(OR(AB250="",AB250=0),"DEFINIR FORNECEDOR",IF(OR(AA250&lt;&gt;"",AA250&lt;&gt;0),VLOOKUP(AB250,#REF!,2,FALSE)))))</f>
        <v>#REF!</v>
      </c>
      <c r="AD250" s="217" t="s">
        <v>1977</v>
      </c>
      <c r="AE250" s="218">
        <v>44908</v>
      </c>
      <c r="AF250" s="220" t="str">
        <f t="shared" ca="1" si="94"/>
        <v>DESATUALIZADA</v>
      </c>
      <c r="AG250" s="229">
        <v>99.9</v>
      </c>
      <c r="AH250" s="231">
        <v>606</v>
      </c>
      <c r="AI250" s="206" t="e">
        <f>IF(AND(OR(AG250="",AG250=0),OR(AG250="",AH250=0)),"",IF(OR(AG250="",AG250=0),"DEFINIR PREÇO",IF(OR(AH250="",AH250=0),"DEFINIR FORNECEDOR",IF(OR(AG250&lt;&gt;"",AG250&lt;&gt;0),VLOOKUP(AH250,#REF!,2,FALSE)))))</f>
        <v>#REF!</v>
      </c>
      <c r="AJ250" s="217" t="s">
        <v>1977</v>
      </c>
      <c r="AK250" s="218">
        <v>44908</v>
      </c>
      <c r="AL250" s="220" t="str">
        <f t="shared" ca="1" si="95"/>
        <v>DESATUALIZADA</v>
      </c>
      <c r="AM250" s="229">
        <v>109.99</v>
      </c>
      <c r="AN250" s="231">
        <v>684</v>
      </c>
      <c r="AO250" s="206" t="e">
        <f>IF(AND(OR(AM250="",AM250=0),OR(AM250="",AN250=0)),"",IF(OR(AM250="",AM250=0),"DEFINIR PREÇO",IF(OR(AN250="",AN250=0),"DEFINIR FORNECEDOR",IF(OR(AM250&lt;&gt;"",AM250&lt;&gt;0),VLOOKUP(AN250,#REF!,2,FALSE)))))</f>
        <v>#REF!</v>
      </c>
      <c r="AP250" s="217" t="s">
        <v>1977</v>
      </c>
      <c r="AQ250" s="218">
        <v>44908</v>
      </c>
      <c r="AR250" s="220" t="str">
        <f t="shared" ca="1" si="96"/>
        <v>DESATUALIZADA</v>
      </c>
      <c r="AS250" s="229"/>
      <c r="AT250" s="231"/>
      <c r="AU250" s="191" t="str">
        <f>IF(AND(OR(AS250="",AS250=0),OR(AS250="",AT250=0)),"",IF(OR(AS250="",AS250=0),"DEFINIR PREÇO",IF(OR(AT250="",AT250=0),"DEFINIR FORNECEDOR",IF(OR(AS250&lt;&gt;"",AS250&lt;&gt;0),VLOOKUP(AT250,#REF!,2,FALSE)))))</f>
        <v/>
      </c>
      <c r="AV250" s="217"/>
      <c r="AW250" s="218"/>
      <c r="AX250" s="220" t="str">
        <f t="shared" ca="1" si="97"/>
        <v/>
      </c>
      <c r="AY250" s="195"/>
      <c r="AZ250" s="196"/>
      <c r="BA250" s="209" t="str">
        <f>IF(AND(OR(AY250="",AY250=0),OR(AY250="",AZ250=0)),"",IF(OR(AY250="",AY250=0),"DEFINIR PREÇO",IF(OR(AZ250="",AZ250=0),"DEFINIR FORNECEDOR",IF(OR(AY250&lt;&gt;"",AY250&lt;&gt;0),VLOOKUP(AZ250,#REF!,2,FALSE)))))</f>
        <v/>
      </c>
      <c r="BB250" s="201"/>
      <c r="BC250" s="199"/>
      <c r="BD250" s="220" t="str">
        <f t="shared" ca="1" si="98"/>
        <v/>
      </c>
      <c r="BE250" s="195"/>
      <c r="BF250" s="196"/>
      <c r="BG250" s="194"/>
      <c r="BH250" s="201"/>
      <c r="BI250" s="199"/>
      <c r="BJ250" s="197"/>
    </row>
    <row r="251" spans="1:62" x14ac:dyDescent="0.25">
      <c r="A251" s="44" t="s">
        <v>405</v>
      </c>
      <c r="B251" s="58" t="s">
        <v>414</v>
      </c>
      <c r="C251" s="45"/>
      <c r="D251" s="55" t="s">
        <v>415</v>
      </c>
      <c r="E251" s="45" t="s">
        <v>21</v>
      </c>
      <c r="F251" s="158" t="e">
        <f>VLOOKUP(B251,#REF!,4,FALSE)</f>
        <v>#REF!</v>
      </c>
      <c r="G251" s="159" t="e">
        <f>VLOOKUP(B251,#REF!,8,FALSE)</f>
        <v>#REF!</v>
      </c>
      <c r="H251" s="240" t="s">
        <v>2000</v>
      </c>
      <c r="I251" s="240" t="s">
        <v>2001</v>
      </c>
      <c r="J251" s="242" t="str">
        <f>IFERROR(IF(N251&lt;&gt;"",M251,IF(I251 = PARÂMETROS!$B$5,Q251, IF(I251 = PARÂMETROS!$B$6,R251,IF(I251 = PARÂMETROS!$B$7,S251,IF(I251 = PARÂMETROS!$B$8, T251,"DEFINIR CRITÉRIO"))))),"SEM PREÇO")</f>
        <v>SEM PREÇO</v>
      </c>
      <c r="K251" s="241">
        <f t="shared" si="87"/>
        <v>0</v>
      </c>
      <c r="L251" s="238" t="str">
        <f t="shared" si="88"/>
        <v/>
      </c>
      <c r="M251" s="180" t="e">
        <f>VLOOKUP(N251,#REF!,4,FALSE)</f>
        <v>#REF!</v>
      </c>
      <c r="N251" s="52" t="s">
        <v>1279</v>
      </c>
      <c r="O251" s="53" t="s">
        <v>26</v>
      </c>
      <c r="P251" s="235">
        <f t="shared" si="89"/>
        <v>0</v>
      </c>
      <c r="Q251" s="236">
        <f t="shared" si="90"/>
        <v>0</v>
      </c>
      <c r="R251" s="236">
        <f t="shared" si="91"/>
        <v>0</v>
      </c>
      <c r="S251" s="236">
        <f t="shared" si="92"/>
        <v>0</v>
      </c>
      <c r="T251" s="236">
        <f t="shared" si="93"/>
        <v>0</v>
      </c>
      <c r="U251" s="237" t="str">
        <f>IF(AA251 = "", "", IF(OR($H251 = PARÂMETROS!$E$5, $H251 = ""), AA251, IF(OR(AA251 &lt; (1-VLOOKUP($H251,PARÂMETROS!$E:$F,2,FALSE))*$P251, AA251 &gt; (1+VLOOKUP($H251,PARÂMETROS!$E:$F,2,FALSE))*$P251),"",AA251)))</f>
        <v/>
      </c>
      <c r="V251" s="237" t="str">
        <f>IF(AG251 = "", "", IF(OR($H251 = PARÂMETROS!$E$5, $H251 = ""), AG251, IF(OR(AG251 &lt; (1-VLOOKUP($H251,PARÂMETROS!$E:$F,2,FALSE))*$P256, AG251 &gt; (1+VLOOKUP($H251,PARÂMETROS!$E:$F,2,FALSE))*$P251),"",AG251)))</f>
        <v/>
      </c>
      <c r="W251" s="237" t="str">
        <f>IF(AM251 = "", "", IF(OR($H251 = PARÂMETROS!$E$5, $H251 = ""), AM251, IF(OR(AM251 &lt; (1-VLOOKUP($H251,PARÂMETROS!$E:$F,2,FALSE))*$P251, AM251 &gt; (1+VLOOKUP($H251,PARÂMETROS!$E:$F,2,FALSE))*$P251),"",AM251)))</f>
        <v/>
      </c>
      <c r="X251" s="237" t="str">
        <f>IF(AS251 = "", "", IF(OR($H251 = PARÂMETROS!$E$5, $H251 = ""), AS251, IF(OR(AS251 &lt; (1-VLOOKUP($H251,PARÂMETROS!$E:$F,2,FALSE))*$P251, AS251 &gt; (1+VLOOKUP($H251,PARÂMETROS!$E:$F,2,FALSE))*$P251),"",AS251)))</f>
        <v/>
      </c>
      <c r="Y251" s="237" t="str">
        <f>IF(AY251 = "", "", IF(OR($H251 = PARÂMETROS!$E$5, $H251 = ""), AY251, IF(OR(AY251 &lt; (1-VLOOKUP($H251,PARÂMETROS!$E:$F,2,FALSE))*$P251, AY251 &gt; (1+VLOOKUP($H251,PARÂMETROS!$E:$F,2,FALSE))*$P251),"",AY251)))</f>
        <v/>
      </c>
      <c r="Z251" s="237" t="str">
        <f>IF(BE251 = "", "", IF(OR($H251 = PARÂMETROS!$E$5, $H251 = ""), BE251, IF(OR(BE251 &lt; (1-VLOOKUP($H251,PARÂMETROS!$E:$F,2,FALSE))*$P251, BE251 &gt; (1+VLOOKUP($H251,PARÂMETROS!$E:$F,2,FALSE))*$P251),"",BE251)))</f>
        <v/>
      </c>
      <c r="AA251" s="207"/>
      <c r="AB251" s="208"/>
      <c r="AC251" s="206"/>
      <c r="AD251" s="217"/>
      <c r="AE251" s="218"/>
      <c r="AF251" s="220" t="str">
        <f t="shared" ca="1" si="94"/>
        <v/>
      </c>
      <c r="AG251" s="229"/>
      <c r="AH251" s="231"/>
      <c r="AI251" s="206" t="str">
        <f>IF(AND(OR(AG251="",AG251=0),OR(AG251="",AH251=0)),"",IF(OR(AG251="",AG251=0),"DEFINIR PREÇO",IF(OR(AH251="",AH251=0),"DEFINIR FORNECEDOR",IF(OR(AG251&lt;&gt;"",AG251&lt;&gt;0),VLOOKUP(AH251,#REF!,2,FALSE)))))</f>
        <v/>
      </c>
      <c r="AJ251" s="217"/>
      <c r="AK251" s="218"/>
      <c r="AL251" s="220" t="str">
        <f t="shared" ca="1" si="95"/>
        <v/>
      </c>
      <c r="AM251" s="229"/>
      <c r="AN251" s="231"/>
      <c r="AO251" s="206"/>
      <c r="AP251" s="217"/>
      <c r="AQ251" s="218"/>
      <c r="AR251" s="220" t="str">
        <f t="shared" ca="1" si="96"/>
        <v/>
      </c>
      <c r="AS251" s="229"/>
      <c r="AT251" s="231"/>
      <c r="AU251" s="191"/>
      <c r="AV251" s="217"/>
      <c r="AW251" s="218"/>
      <c r="AX251" s="220" t="str">
        <f t="shared" ca="1" si="97"/>
        <v/>
      </c>
      <c r="AY251" s="195"/>
      <c r="AZ251" s="196"/>
      <c r="BA251" s="209" t="str">
        <f>IF(AND(OR(AY251="",AY251=0),OR(AY251="",AZ251=0)),"",IF(OR(AY251="",AY251=0),"DEFINIR PREÇO",IF(OR(AZ251="",AZ251=0),"DEFINIR FORNECEDOR",IF(OR(AY251&lt;&gt;"",AY251&lt;&gt;0),VLOOKUP(AZ251,#REF!,2,FALSE)))))</f>
        <v/>
      </c>
      <c r="BB251" s="201"/>
      <c r="BC251" s="199"/>
      <c r="BD251" s="220" t="str">
        <f t="shared" ca="1" si="98"/>
        <v/>
      </c>
      <c r="BE251" s="195"/>
      <c r="BF251" s="196"/>
      <c r="BG251" s="194"/>
      <c r="BH251" s="201"/>
      <c r="BI251" s="199"/>
      <c r="BJ251" s="197"/>
    </row>
    <row r="252" spans="1:62" ht="30" x14ac:dyDescent="0.25">
      <c r="A252" s="44" t="s">
        <v>405</v>
      </c>
      <c r="B252" s="58" t="s">
        <v>417</v>
      </c>
      <c r="C252" s="45"/>
      <c r="D252" s="55" t="s">
        <v>142</v>
      </c>
      <c r="E252" s="45" t="s">
        <v>33</v>
      </c>
      <c r="F252" s="158" t="str">
        <f>J252</f>
        <v>DEFINIR CRITÉRIO</v>
      </c>
      <c r="G252" s="159" t="str">
        <f>J252</f>
        <v>DEFINIR CRITÉRIO</v>
      </c>
      <c r="H252" s="240" t="s">
        <v>2000</v>
      </c>
      <c r="I252" s="240" t="s">
        <v>2001</v>
      </c>
      <c r="J252" s="242" t="str">
        <f>IFERROR(IF(N252&lt;&gt;"",M252,IF(I252 = PARÂMETROS!$B$5,Q252, IF(I252 = PARÂMETROS!$B$6,R252,IF(I252 = PARÂMETROS!$B$7,S252,IF(I252 = PARÂMETROS!$B$8, T252,"DEFINIR CRITÉRIO"))))),"SEM PREÇO")</f>
        <v>DEFINIR CRITÉRIO</v>
      </c>
      <c r="K252" s="241" t="str">
        <f t="shared" si="87"/>
        <v/>
      </c>
      <c r="L252" s="238" t="str">
        <f t="shared" si="88"/>
        <v/>
      </c>
      <c r="M252" s="163"/>
      <c r="N252" s="52"/>
      <c r="O252" s="53"/>
      <c r="P252" s="235">
        <f t="shared" si="89"/>
        <v>15.133333333333333</v>
      </c>
      <c r="Q252" s="236">
        <f t="shared" si="90"/>
        <v>0</v>
      </c>
      <c r="R252" s="236">
        <f t="shared" si="91"/>
        <v>0</v>
      </c>
      <c r="S252" s="236">
        <f t="shared" si="92"/>
        <v>0</v>
      </c>
      <c r="T252" s="236">
        <f t="shared" si="93"/>
        <v>0</v>
      </c>
      <c r="U252" s="237" t="e">
        <f>IF(AA252 = "", "", IF(OR($H252 = PARÂMETROS!$E$5, $H252 = ""), AA252, IF(OR(AA252 &lt; (1-VLOOKUP($H252,PARÂMETROS!$E:$F,2,FALSE))*$P252, AA252 &gt; (1+VLOOKUP($H252,PARÂMETROS!$E:$F,2,FALSE))*$P252),"",AA252)))</f>
        <v>#N/A</v>
      </c>
      <c r="V252" s="237" t="e">
        <f>IF(AG252 = "", "", IF(OR($H252 = PARÂMETROS!$E$5, $H252 = ""), AG252, IF(OR(AG252 &lt; (1-VLOOKUP($H252,PARÂMETROS!$E:$F,2,FALSE))*$P257, AG252 &gt; (1+VLOOKUP($H252,PARÂMETROS!$E:$F,2,FALSE))*$P252),"",AG252)))</f>
        <v>#N/A</v>
      </c>
      <c r="W252" s="237" t="e">
        <f>IF(AM252 = "", "", IF(OR($H252 = PARÂMETROS!$E$5, $H252 = ""), AM252, IF(OR(AM252 &lt; (1-VLOOKUP($H252,PARÂMETROS!$E:$F,2,FALSE))*$P252, AM252 &gt; (1+VLOOKUP($H252,PARÂMETROS!$E:$F,2,FALSE))*$P252),"",AM252)))</f>
        <v>#N/A</v>
      </c>
      <c r="X252" s="237" t="str">
        <f>IF(AS252 = "", "", IF(OR($H252 = PARÂMETROS!$E$5, $H252 = ""), AS252, IF(OR(AS252 &lt; (1-VLOOKUP($H252,PARÂMETROS!$E:$F,2,FALSE))*$P252, AS252 &gt; (1+VLOOKUP($H252,PARÂMETROS!$E:$F,2,FALSE))*$P252),"",AS252)))</f>
        <v/>
      </c>
      <c r="Y252" s="237" t="str">
        <f>IF(AY252 = "", "", IF(OR($H252 = PARÂMETROS!$E$5, $H252 = ""), AY252, IF(OR(AY252 &lt; (1-VLOOKUP($H252,PARÂMETROS!$E:$F,2,FALSE))*$P252, AY252 &gt; (1+VLOOKUP($H252,PARÂMETROS!$E:$F,2,FALSE))*$P252),"",AY252)))</f>
        <v/>
      </c>
      <c r="Z252" s="237" t="str">
        <f>IF(BE252 = "", "", IF(OR($H252 = PARÂMETROS!$E$5, $H252 = ""), BE252, IF(OR(BE252 &lt; (1-VLOOKUP($H252,PARÂMETROS!$E:$F,2,FALSE))*$P252, BE252 &gt; (1+VLOOKUP($H252,PARÂMETROS!$E:$F,2,FALSE))*$P252),"",BE252)))</f>
        <v/>
      </c>
      <c r="AA252" s="207">
        <v>13.92</v>
      </c>
      <c r="AB252" s="208">
        <v>368</v>
      </c>
      <c r="AC252" s="206" t="e">
        <f>IF(AND(OR(AA252="",AA252=0),OR(AA252="",AB252=0)),"",IF(OR(AA252="",AA252=0),"DEFINIR PREÇO",IF(OR(AB252="",AB252=0),"DEFINIR FORNECEDOR",IF(OR(AA252&lt;&gt;"",AA252&lt;&gt;0),VLOOKUP(AB252,#REF!,2,FALSE)))))</f>
        <v>#REF!</v>
      </c>
      <c r="AD252" s="217" t="s">
        <v>1977</v>
      </c>
      <c r="AE252" s="218">
        <v>44922</v>
      </c>
      <c r="AF252" s="220" t="str">
        <f t="shared" ca="1" si="94"/>
        <v>DESATUALIZADA</v>
      </c>
      <c r="AG252" s="229">
        <v>11.65</v>
      </c>
      <c r="AH252" s="231">
        <v>1494</v>
      </c>
      <c r="AI252" s="206" t="e">
        <f>IF(AND(OR(AG252="",AG252=0),OR(AG252="",AH252=0)),"",IF(OR(AG252="",AG252=0),"DEFINIR PREÇO",IF(OR(AH252="",AH252=0),"DEFINIR FORNECEDOR",IF(OR(AG252&lt;&gt;"",AG252&lt;&gt;0),VLOOKUP(AH252,#REF!,2,FALSE)))))</f>
        <v>#REF!</v>
      </c>
      <c r="AJ252" s="217" t="s">
        <v>1977</v>
      </c>
      <c r="AK252" s="218">
        <v>44922</v>
      </c>
      <c r="AL252" s="220" t="str">
        <f t="shared" ca="1" si="95"/>
        <v>DESATUALIZADA</v>
      </c>
      <c r="AM252" s="229">
        <v>19.829999999999998</v>
      </c>
      <c r="AN252" s="231">
        <v>264</v>
      </c>
      <c r="AO252" s="206" t="e">
        <f>IF(AND(OR(AM252="",AM252=0),OR(AM252="",AN252=0)),"",IF(OR(AM252="",AM252=0),"DEFINIR PREÇO",IF(OR(AN252="",AN252=0),"DEFINIR FORNECEDOR",IF(OR(AM252&lt;&gt;"",AM252&lt;&gt;0),VLOOKUP(AN252,#REF!,2,FALSE)))))</f>
        <v>#REF!</v>
      </c>
      <c r="AP252" s="217" t="s">
        <v>1977</v>
      </c>
      <c r="AQ252" s="218">
        <v>44922</v>
      </c>
      <c r="AR252" s="220" t="str">
        <f t="shared" ca="1" si="96"/>
        <v>DESATUALIZADA</v>
      </c>
      <c r="AS252" s="229"/>
      <c r="AT252" s="231"/>
      <c r="AU252" s="191" t="str">
        <f>IF(AND(OR(AS252="",AS252=0),OR(AS252="",AT252=0)),"",IF(OR(AS252="",AS252=0),"DEFINIR PREÇO",IF(OR(AT252="",AT252=0),"DEFINIR FORNECEDOR",IF(OR(AS252&lt;&gt;"",AS252&lt;&gt;0),VLOOKUP(AT252,#REF!,2,FALSE)))))</f>
        <v/>
      </c>
      <c r="AV252" s="217"/>
      <c r="AW252" s="218"/>
      <c r="AX252" s="220" t="str">
        <f t="shared" ca="1" si="97"/>
        <v/>
      </c>
      <c r="AY252" s="195"/>
      <c r="AZ252" s="196"/>
      <c r="BA252" s="209" t="str">
        <f>IF(AND(OR(AY252="",AY252=0),OR(AY252="",AZ252=0)),"",IF(OR(AY252="",AY252=0),"DEFINIR PREÇO",IF(OR(AZ252="",AZ252=0),"DEFINIR FORNECEDOR",IF(OR(AY252&lt;&gt;"",AY252&lt;&gt;0),VLOOKUP(AZ252,#REF!,2,FALSE)))))</f>
        <v/>
      </c>
      <c r="BB252" s="201"/>
      <c r="BC252" s="199"/>
      <c r="BD252" s="220" t="str">
        <f t="shared" ca="1" si="98"/>
        <v/>
      </c>
      <c r="BE252" s="195"/>
      <c r="BF252" s="196"/>
      <c r="BG252" s="194"/>
      <c r="BH252" s="201"/>
      <c r="BI252" s="199"/>
      <c r="BJ252" s="197"/>
    </row>
    <row r="253" spans="1:62" ht="30" x14ac:dyDescent="0.25">
      <c r="A253" s="44" t="s">
        <v>405</v>
      </c>
      <c r="B253" s="58" t="s">
        <v>152</v>
      </c>
      <c r="C253" s="45"/>
      <c r="D253" s="55" t="s">
        <v>145</v>
      </c>
      <c r="E253" s="45" t="s">
        <v>33</v>
      </c>
      <c r="F253" s="158" t="str">
        <f>J253</f>
        <v>DEFINIR CRITÉRIO</v>
      </c>
      <c r="G253" s="159" t="str">
        <f>J253</f>
        <v>DEFINIR CRITÉRIO</v>
      </c>
      <c r="H253" s="240" t="s">
        <v>2000</v>
      </c>
      <c r="I253" s="240" t="s">
        <v>1999</v>
      </c>
      <c r="J253" s="242" t="str">
        <f>IFERROR(IF(N253&lt;&gt;"",M253,IF(I253 = PARÂMETROS!$B$5,Q253, IF(I253 = PARÂMETROS!$B$6,R253,IF(I253 = PARÂMETROS!$B$7,S253,IF(I253 = PARÂMETROS!$B$8, T253,"DEFINIR CRITÉRIO"))))),"SEM PREÇO")</f>
        <v>DEFINIR CRITÉRIO</v>
      </c>
      <c r="K253" s="241" t="str">
        <f t="shared" si="87"/>
        <v/>
      </c>
      <c r="L253" s="238" t="str">
        <f t="shared" si="88"/>
        <v/>
      </c>
      <c r="M253" s="163"/>
      <c r="N253" s="52"/>
      <c r="O253" s="53"/>
      <c r="P253" s="235">
        <f t="shared" si="89"/>
        <v>3.4233333333333333</v>
      </c>
      <c r="Q253" s="236">
        <f t="shared" si="90"/>
        <v>0</v>
      </c>
      <c r="R253" s="236">
        <f t="shared" si="91"/>
        <v>0</v>
      </c>
      <c r="S253" s="236">
        <f t="shared" si="92"/>
        <v>0</v>
      </c>
      <c r="T253" s="236">
        <f t="shared" si="93"/>
        <v>0</v>
      </c>
      <c r="U253" s="237" t="e">
        <f>IF(AA253 = "", "", IF(OR($H253 = PARÂMETROS!$E$5, $H253 = ""), AA253, IF(OR(AA253 &lt; (1-VLOOKUP($H253,PARÂMETROS!$E:$F,2,FALSE))*$P253, AA253 &gt; (1+VLOOKUP($H253,PARÂMETROS!$E:$F,2,FALSE))*$P253),"",AA253)))</f>
        <v>#N/A</v>
      </c>
      <c r="V253" s="237" t="e">
        <f>IF(AG253 = "", "", IF(OR($H253 = PARÂMETROS!$E$5, $H253 = ""), AG253, IF(OR(AG253 &lt; (1-VLOOKUP($H253,PARÂMETROS!$E:$F,2,FALSE))*$P258, AG253 &gt; (1+VLOOKUP($H253,PARÂMETROS!$E:$F,2,FALSE))*$P253),"",AG253)))</f>
        <v>#N/A</v>
      </c>
      <c r="W253" s="237" t="e">
        <f>IF(AM253 = "", "", IF(OR($H253 = PARÂMETROS!$E$5, $H253 = ""), AM253, IF(OR(AM253 &lt; (1-VLOOKUP($H253,PARÂMETROS!$E:$F,2,FALSE))*$P253, AM253 &gt; (1+VLOOKUP($H253,PARÂMETROS!$E:$F,2,FALSE))*$P253),"",AM253)))</f>
        <v>#N/A</v>
      </c>
      <c r="X253" s="237" t="str">
        <f>IF(AS253 = "", "", IF(OR($H253 = PARÂMETROS!$E$5, $H253 = ""), AS253, IF(OR(AS253 &lt; (1-VLOOKUP($H253,PARÂMETROS!$E:$F,2,FALSE))*$P253, AS253 &gt; (1+VLOOKUP($H253,PARÂMETROS!$E:$F,2,FALSE))*$P253),"",AS253)))</f>
        <v/>
      </c>
      <c r="Y253" s="237" t="str">
        <f>IF(AY253 = "", "", IF(OR($H253 = PARÂMETROS!$E$5, $H253 = ""), AY253, IF(OR(AY253 &lt; (1-VLOOKUP($H253,PARÂMETROS!$E:$F,2,FALSE))*$P253, AY253 &gt; (1+VLOOKUP($H253,PARÂMETROS!$E:$F,2,FALSE))*$P253),"",AY253)))</f>
        <v/>
      </c>
      <c r="Z253" s="237" t="str">
        <f>IF(BE253 = "", "", IF(OR($H253 = PARÂMETROS!$E$5, $H253 = ""), BE253, IF(OR(BE253 &lt; (1-VLOOKUP($H253,PARÂMETROS!$E:$F,2,FALSE))*$P253, BE253 &gt; (1+VLOOKUP($H253,PARÂMETROS!$E:$F,2,FALSE))*$P253),"",BE253)))</f>
        <v/>
      </c>
      <c r="AA253" s="207">
        <v>3.87</v>
      </c>
      <c r="AB253" s="208">
        <v>368</v>
      </c>
      <c r="AC253" s="206" t="e">
        <f>IF(AND(OR(AA253="",AA253=0),OR(AA253="",AB253=0)),"",IF(OR(AA253="",AA253=0),"DEFINIR PREÇO",IF(OR(AB253="",AB253=0),"DEFINIR FORNECEDOR",IF(OR(AA253&lt;&gt;"",AA253&lt;&gt;0),VLOOKUP(AB253,#REF!,2,FALSE)))))</f>
        <v>#REF!</v>
      </c>
      <c r="AD253" s="217" t="s">
        <v>1977</v>
      </c>
      <c r="AE253" s="218">
        <v>44922</v>
      </c>
      <c r="AF253" s="220" t="str">
        <f t="shared" ca="1" si="94"/>
        <v>DESATUALIZADA</v>
      </c>
      <c r="AG253" s="229">
        <v>2.8</v>
      </c>
      <c r="AH253" s="231">
        <v>1494</v>
      </c>
      <c r="AI253" s="206" t="e">
        <f>IF(AND(OR(AG253="",AG253=0),OR(AG253="",AH253=0)),"",IF(OR(AG253="",AG253=0),"DEFINIR PREÇO",IF(OR(AH253="",AH253=0),"DEFINIR FORNECEDOR",IF(OR(AG253&lt;&gt;"",AG253&lt;&gt;0),VLOOKUP(AH253,#REF!,2,FALSE)))))</f>
        <v>#REF!</v>
      </c>
      <c r="AJ253" s="217" t="s">
        <v>1977</v>
      </c>
      <c r="AK253" s="218">
        <v>44922</v>
      </c>
      <c r="AL253" s="220" t="str">
        <f t="shared" ca="1" si="95"/>
        <v>DESATUALIZADA</v>
      </c>
      <c r="AM253" s="229">
        <v>3.6</v>
      </c>
      <c r="AN253" s="231">
        <v>264</v>
      </c>
      <c r="AO253" s="206" t="e">
        <f>IF(AND(OR(AM253="",AM253=0),OR(AM253="",AN253=0)),"",IF(OR(AM253="",AM253=0),"DEFINIR PREÇO",IF(OR(AN253="",AN253=0),"DEFINIR FORNECEDOR",IF(OR(AM253&lt;&gt;"",AM253&lt;&gt;0),VLOOKUP(AN253,#REF!,2,FALSE)))))</f>
        <v>#REF!</v>
      </c>
      <c r="AP253" s="217" t="s">
        <v>1977</v>
      </c>
      <c r="AQ253" s="218">
        <v>44922</v>
      </c>
      <c r="AR253" s="220" t="str">
        <f t="shared" ca="1" si="96"/>
        <v>DESATUALIZADA</v>
      </c>
      <c r="AS253" s="229"/>
      <c r="AT253" s="231"/>
      <c r="AU253" s="191" t="str">
        <f>IF(AND(OR(AS253="",AS253=0),OR(AS253="",AT253=0)),"",IF(OR(AS253="",AS253=0),"DEFINIR PREÇO",IF(OR(AT253="",AT253=0),"DEFINIR FORNECEDOR",IF(OR(AS253&lt;&gt;"",AS253&lt;&gt;0),VLOOKUP(AT253,#REF!,2,FALSE)))))</f>
        <v/>
      </c>
      <c r="AV253" s="217"/>
      <c r="AW253" s="218"/>
      <c r="AX253" s="220" t="str">
        <f t="shared" ca="1" si="97"/>
        <v/>
      </c>
      <c r="AY253" s="195"/>
      <c r="AZ253" s="196"/>
      <c r="BA253" s="209" t="str">
        <f>IF(AND(OR(AY253="",AY253=0),OR(AY253="",AZ253=0)),"",IF(OR(AY253="",AY253=0),"DEFINIR PREÇO",IF(OR(AZ253="",AZ253=0),"DEFINIR FORNECEDOR",IF(OR(AY253&lt;&gt;"",AY253&lt;&gt;0),VLOOKUP(AZ253,#REF!,2,FALSE)))))</f>
        <v/>
      </c>
      <c r="BB253" s="201"/>
      <c r="BC253" s="199"/>
      <c r="BD253" s="220" t="str">
        <f t="shared" ca="1" si="98"/>
        <v/>
      </c>
      <c r="BE253" s="195"/>
      <c r="BF253" s="196"/>
      <c r="BG253" s="194"/>
      <c r="BH253" s="201"/>
      <c r="BI253" s="199"/>
      <c r="BJ253" s="197"/>
    </row>
    <row r="254" spans="1:62" ht="30" x14ac:dyDescent="0.25">
      <c r="A254" s="44" t="s">
        <v>405</v>
      </c>
      <c r="B254" s="58" t="s">
        <v>418</v>
      </c>
      <c r="C254" s="45"/>
      <c r="D254" s="55" t="s">
        <v>146</v>
      </c>
      <c r="E254" s="45" t="s">
        <v>33</v>
      </c>
      <c r="F254" s="158" t="str">
        <f>J254</f>
        <v>DEFINIR CRITÉRIO</v>
      </c>
      <c r="G254" s="159" t="str">
        <f>J254</f>
        <v>DEFINIR CRITÉRIO</v>
      </c>
      <c r="H254" s="240" t="s">
        <v>2000</v>
      </c>
      <c r="I254" s="240" t="s">
        <v>1999</v>
      </c>
      <c r="J254" s="242" t="str">
        <f>IFERROR(IF(N254&lt;&gt;"",M254,IF(I254 = PARÂMETROS!$B$5,Q254, IF(I254 = PARÂMETROS!$B$6,R254,IF(I254 = PARÂMETROS!$B$7,S254,IF(I254 = PARÂMETROS!$B$8, T254,"DEFINIR CRITÉRIO"))))),"SEM PREÇO")</f>
        <v>DEFINIR CRITÉRIO</v>
      </c>
      <c r="K254" s="241" t="str">
        <f t="shared" si="87"/>
        <v/>
      </c>
      <c r="L254" s="238" t="str">
        <f t="shared" si="88"/>
        <v/>
      </c>
      <c r="M254" s="163"/>
      <c r="N254" s="52"/>
      <c r="O254" s="53"/>
      <c r="P254" s="235">
        <f t="shared" si="89"/>
        <v>8.5333333333333332</v>
      </c>
      <c r="Q254" s="236">
        <f t="shared" si="90"/>
        <v>0</v>
      </c>
      <c r="R254" s="236">
        <f t="shared" si="91"/>
        <v>0</v>
      </c>
      <c r="S254" s="236">
        <f t="shared" si="92"/>
        <v>0</v>
      </c>
      <c r="T254" s="236">
        <f t="shared" si="93"/>
        <v>0</v>
      </c>
      <c r="U254" s="237" t="e">
        <f>IF(AA254 = "", "", IF(OR($H254 = PARÂMETROS!$E$5, $H254 = ""), AA254, IF(OR(AA254 &lt; (1-VLOOKUP($H254,PARÂMETROS!$E:$F,2,FALSE))*$P254, AA254 &gt; (1+VLOOKUP($H254,PARÂMETROS!$E:$F,2,FALSE))*$P254),"",AA254)))</f>
        <v>#N/A</v>
      </c>
      <c r="V254" s="237" t="e">
        <f>IF(AG254 = "", "", IF(OR($H254 = PARÂMETROS!$E$5, $H254 = ""), AG254, IF(OR(AG254 &lt; (1-VLOOKUP($H254,PARÂMETROS!$E:$F,2,FALSE))*$P259, AG254 &gt; (1+VLOOKUP($H254,PARÂMETROS!$E:$F,2,FALSE))*$P254),"",AG254)))</f>
        <v>#N/A</v>
      </c>
      <c r="W254" s="237" t="e">
        <f>IF(AM254 = "", "", IF(OR($H254 = PARÂMETROS!$E$5, $H254 = ""), AM254, IF(OR(AM254 &lt; (1-VLOOKUP($H254,PARÂMETROS!$E:$F,2,FALSE))*$P254, AM254 &gt; (1+VLOOKUP($H254,PARÂMETROS!$E:$F,2,FALSE))*$P254),"",AM254)))</f>
        <v>#N/A</v>
      </c>
      <c r="X254" s="237" t="str">
        <f>IF(AS254 = "", "", IF(OR($H254 = PARÂMETROS!$E$5, $H254 = ""), AS254, IF(OR(AS254 &lt; (1-VLOOKUP($H254,PARÂMETROS!$E:$F,2,FALSE))*$P254, AS254 &gt; (1+VLOOKUP($H254,PARÂMETROS!$E:$F,2,FALSE))*$P254),"",AS254)))</f>
        <v/>
      </c>
      <c r="Y254" s="237" t="str">
        <f>IF(AY254 = "", "", IF(OR($H254 = PARÂMETROS!$E$5, $H254 = ""), AY254, IF(OR(AY254 &lt; (1-VLOOKUP($H254,PARÂMETROS!$E:$F,2,FALSE))*$P254, AY254 &gt; (1+VLOOKUP($H254,PARÂMETROS!$E:$F,2,FALSE))*$P254),"",AY254)))</f>
        <v/>
      </c>
      <c r="Z254" s="237" t="str">
        <f>IF(BE254 = "", "", IF(OR($H254 = PARÂMETROS!$E$5, $H254 = ""), BE254, IF(OR(BE254 &lt; (1-VLOOKUP($H254,PARÂMETROS!$E:$F,2,FALSE))*$P254, BE254 &gt; (1+VLOOKUP($H254,PARÂMETROS!$E:$F,2,FALSE))*$P254),"",BE254)))</f>
        <v/>
      </c>
      <c r="AA254" s="207">
        <v>8.6</v>
      </c>
      <c r="AB254" s="208">
        <v>827</v>
      </c>
      <c r="AC254" s="206" t="e">
        <f>IF(AND(OR(AA254="",AA254=0),OR(AA254="",AB254=0)),"",IF(OR(AA254="",AA254=0),"DEFINIR PREÇO",IF(OR(AB254="",AB254=0),"DEFINIR FORNECEDOR",IF(OR(AA254&lt;&gt;"",AA254&lt;&gt;0),VLOOKUP(AB254,#REF!,2,FALSE)))))</f>
        <v>#REF!</v>
      </c>
      <c r="AD254" s="217" t="s">
        <v>1977</v>
      </c>
      <c r="AE254" s="218">
        <v>44922</v>
      </c>
      <c r="AF254" s="220" t="str">
        <f t="shared" ca="1" si="94"/>
        <v>DESATUALIZADA</v>
      </c>
      <c r="AG254" s="229">
        <v>8.6</v>
      </c>
      <c r="AH254" s="231">
        <v>660</v>
      </c>
      <c r="AI254" s="206" t="e">
        <f>IF(AND(OR(AG254="",AG254=0),OR(AG254="",AH254=0)),"",IF(OR(AG254="",AG254=0),"DEFINIR PREÇO",IF(OR(AH254="",AH254=0),"DEFINIR FORNECEDOR",IF(OR(AG254&lt;&gt;"",AG254&lt;&gt;0),VLOOKUP(AH254,#REF!,2,FALSE)))))</f>
        <v>#REF!</v>
      </c>
      <c r="AJ254" s="217" t="s">
        <v>1977</v>
      </c>
      <c r="AK254" s="218">
        <v>44922</v>
      </c>
      <c r="AL254" s="220" t="str">
        <f t="shared" ca="1" si="95"/>
        <v>DESATUALIZADA</v>
      </c>
      <c r="AM254" s="229">
        <v>8.4</v>
      </c>
      <c r="AN254" s="231">
        <v>732</v>
      </c>
      <c r="AO254" s="206" t="e">
        <f>IF(AND(OR(AM254="",AM254=0),OR(AM254="",AN254=0)),"",IF(OR(AM254="",AM254=0),"DEFINIR PREÇO",IF(OR(AN254="",AN254=0),"DEFINIR FORNECEDOR",IF(OR(AM254&lt;&gt;"",AM254&lt;&gt;0),VLOOKUP(AN254,#REF!,2,FALSE)))))</f>
        <v>#REF!</v>
      </c>
      <c r="AP254" s="217" t="s">
        <v>1977</v>
      </c>
      <c r="AQ254" s="218">
        <v>44922</v>
      </c>
      <c r="AR254" s="220" t="str">
        <f t="shared" ca="1" si="96"/>
        <v>DESATUALIZADA</v>
      </c>
      <c r="AS254" s="229"/>
      <c r="AT254" s="231"/>
      <c r="AU254" s="191" t="str">
        <f>IF(AND(OR(AS254="",AS254=0),OR(AS254="",AT254=0)),"",IF(OR(AS254="",AS254=0),"DEFINIR PREÇO",IF(OR(AT254="",AT254=0),"DEFINIR FORNECEDOR",IF(OR(AS254&lt;&gt;"",AS254&lt;&gt;0),VLOOKUP(AT254,#REF!,2,FALSE)))))</f>
        <v/>
      </c>
      <c r="AV254" s="217"/>
      <c r="AW254" s="218"/>
      <c r="AX254" s="220" t="str">
        <f t="shared" ca="1" si="97"/>
        <v/>
      </c>
      <c r="AY254" s="195"/>
      <c r="AZ254" s="196"/>
      <c r="BA254" s="209" t="str">
        <f>IF(AND(OR(AY254="",AY254=0),OR(AY254="",AZ254=0)),"",IF(OR(AY254="",AY254=0),"DEFINIR PREÇO",IF(OR(AZ254="",AZ254=0),"DEFINIR FORNECEDOR",IF(OR(AY254&lt;&gt;"",AY254&lt;&gt;0),VLOOKUP(AZ254,#REF!,2,FALSE)))))</f>
        <v/>
      </c>
      <c r="BB254" s="201"/>
      <c r="BC254" s="199"/>
      <c r="BD254" s="220" t="str">
        <f t="shared" ca="1" si="98"/>
        <v/>
      </c>
      <c r="BE254" s="195"/>
      <c r="BF254" s="196"/>
      <c r="BG254" s="194"/>
      <c r="BH254" s="201"/>
      <c r="BI254" s="199"/>
      <c r="BJ254" s="197"/>
    </row>
    <row r="255" spans="1:62" ht="30" x14ac:dyDescent="0.25">
      <c r="A255" s="44" t="s">
        <v>405</v>
      </c>
      <c r="B255" s="58" t="s">
        <v>1344</v>
      </c>
      <c r="C255" s="45"/>
      <c r="D255" s="55" t="s">
        <v>1345</v>
      </c>
      <c r="E255" s="45" t="s">
        <v>29</v>
      </c>
      <c r="F255" s="158" t="str">
        <f>J255</f>
        <v>DEFINIR CRITÉRIO</v>
      </c>
      <c r="G255" s="159" t="str">
        <f>J255</f>
        <v>DEFINIR CRITÉRIO</v>
      </c>
      <c r="H255" s="240" t="s">
        <v>2000</v>
      </c>
      <c r="I255" s="240" t="s">
        <v>2002</v>
      </c>
      <c r="J255" s="242" t="str">
        <f>IFERROR(IF(N255&lt;&gt;"",M255,IF(I255 = PARÂMETROS!$B$5,Q255, IF(I255 = PARÂMETROS!$B$6,R255,IF(I255 = PARÂMETROS!$B$7,S255,IF(I255 = PARÂMETROS!$B$8, T255,"DEFINIR CRITÉRIO"))))),"SEM PREÇO")</f>
        <v>DEFINIR CRITÉRIO</v>
      </c>
      <c r="K255" s="241" t="str">
        <f t="shared" si="87"/>
        <v/>
      </c>
      <c r="L255" s="238" t="str">
        <f t="shared" si="88"/>
        <v/>
      </c>
      <c r="M255" s="163"/>
      <c r="N255" s="52"/>
      <c r="O255" s="53"/>
      <c r="P255" s="235">
        <f t="shared" si="89"/>
        <v>682.26333333333332</v>
      </c>
      <c r="Q255" s="236">
        <f t="shared" si="90"/>
        <v>0</v>
      </c>
      <c r="R255" s="236">
        <f t="shared" si="91"/>
        <v>0</v>
      </c>
      <c r="S255" s="236">
        <f t="shared" si="92"/>
        <v>0</v>
      </c>
      <c r="T255" s="236">
        <f t="shared" si="93"/>
        <v>0</v>
      </c>
      <c r="U255" s="237" t="e">
        <f>IF(AA255 = "", "", IF(OR($H255 = PARÂMETROS!$E$5, $H255 = ""), AA255, IF(OR(AA255 &lt; (1-VLOOKUP($H255,PARÂMETROS!$E:$F,2,FALSE))*$P255, AA255 &gt; (1+VLOOKUP($H255,PARÂMETROS!$E:$F,2,FALSE))*$P255),"",AA255)))</f>
        <v>#N/A</v>
      </c>
      <c r="V255" s="237" t="e">
        <f>IF(AG255 = "", "", IF(OR($H255 = PARÂMETROS!$E$5, $H255 = ""), AG255, IF(OR(AG255 &lt; (1-VLOOKUP($H255,PARÂMETROS!$E:$F,2,FALSE))*$P260, AG255 &gt; (1+VLOOKUP($H255,PARÂMETROS!$E:$F,2,FALSE))*$P255),"",AG255)))</f>
        <v>#N/A</v>
      </c>
      <c r="W255" s="237" t="e">
        <f>IF(AM255 = "", "", IF(OR($H255 = PARÂMETROS!$E$5, $H255 = ""), AM255, IF(OR(AM255 &lt; (1-VLOOKUP($H255,PARÂMETROS!$E:$F,2,FALSE))*$P255, AM255 &gt; (1+VLOOKUP($H255,PARÂMETROS!$E:$F,2,FALSE))*$P255),"",AM255)))</f>
        <v>#N/A</v>
      </c>
      <c r="X255" s="237" t="str">
        <f>IF(AS255 = "", "", IF(OR($H255 = PARÂMETROS!$E$5, $H255 = ""), AS255, IF(OR(AS255 &lt; (1-VLOOKUP($H255,PARÂMETROS!$E:$F,2,FALSE))*$P255, AS255 &gt; (1+VLOOKUP($H255,PARÂMETROS!$E:$F,2,FALSE))*$P255),"",AS255)))</f>
        <v/>
      </c>
      <c r="Y255" s="237" t="str">
        <f>IF(AY255 = "", "", IF(OR($H255 = PARÂMETROS!$E$5, $H255 = ""), AY255, IF(OR(AY255 &lt; (1-VLOOKUP($H255,PARÂMETROS!$E:$F,2,FALSE))*$P255, AY255 &gt; (1+VLOOKUP($H255,PARÂMETROS!$E:$F,2,FALSE))*$P255),"",AY255)))</f>
        <v/>
      </c>
      <c r="Z255" s="237" t="str">
        <f>IF(BE255 = "", "", IF(OR($H255 = PARÂMETROS!$E$5, $H255 = ""), BE255, IF(OR(BE255 &lt; (1-VLOOKUP($H255,PARÂMETROS!$E:$F,2,FALSE))*$P255, BE255 &gt; (1+VLOOKUP($H255,PARÂMETROS!$E:$F,2,FALSE))*$P255),"",BE255)))</f>
        <v/>
      </c>
      <c r="AA255" s="207">
        <v>823.19</v>
      </c>
      <c r="AB255" s="208">
        <v>649</v>
      </c>
      <c r="AC255" s="206" t="e">
        <f>IF(AND(OR(AA255="",AA255=0),OR(AA255="",AB255=0)),"",IF(OR(AA255="",AA255=0),"DEFINIR PREÇO",IF(OR(AB255="",AB255=0),"DEFINIR FORNECEDOR",IF(OR(AA255&lt;&gt;"",AA255&lt;&gt;0),VLOOKUP(AB255,#REF!,2,FALSE)))))</f>
        <v>#REF!</v>
      </c>
      <c r="AD255" s="217" t="s">
        <v>1977</v>
      </c>
      <c r="AE255" s="218">
        <v>44922</v>
      </c>
      <c r="AF255" s="220" t="str">
        <f t="shared" ca="1" si="94"/>
        <v>DESATUALIZADA</v>
      </c>
      <c r="AG255" s="229">
        <v>420.09</v>
      </c>
      <c r="AH255" s="231">
        <v>862</v>
      </c>
      <c r="AI255" s="206" t="e">
        <f>IF(AND(OR(AG255="",AG255=0),OR(AG255="",AH255=0)),"",IF(OR(AG255="",AG255=0),"DEFINIR PREÇO",IF(OR(AH255="",AH255=0),"DEFINIR FORNECEDOR",IF(OR(AG255&lt;&gt;"",AG255&lt;&gt;0),VLOOKUP(AH255,#REF!,2,FALSE)))))</f>
        <v>#REF!</v>
      </c>
      <c r="AJ255" s="217" t="s">
        <v>1977</v>
      </c>
      <c r="AK255" s="218">
        <v>44922</v>
      </c>
      <c r="AL255" s="220" t="str">
        <f t="shared" ca="1" si="95"/>
        <v>DESATUALIZADA</v>
      </c>
      <c r="AM255" s="229">
        <v>803.51</v>
      </c>
      <c r="AN255" s="231">
        <v>2169</v>
      </c>
      <c r="AO255" s="206" t="e">
        <f>IF(AND(OR(AM255="",AM255=0),OR(AM255="",AN255=0)),"",IF(OR(AM255="",AM255=0),"DEFINIR PREÇO",IF(OR(AN255="",AN255=0),"DEFINIR FORNECEDOR",IF(OR(AM255&lt;&gt;"",AM255&lt;&gt;0),VLOOKUP(AN255,#REF!,2,FALSE)))))</f>
        <v>#REF!</v>
      </c>
      <c r="AP255" s="217" t="s">
        <v>1977</v>
      </c>
      <c r="AQ255" s="218">
        <v>44922</v>
      </c>
      <c r="AR255" s="220" t="str">
        <f t="shared" ca="1" si="96"/>
        <v>DESATUALIZADA</v>
      </c>
      <c r="AS255" s="229"/>
      <c r="AT255" s="231"/>
      <c r="AU255" s="191" t="str">
        <f>IF(AND(OR(AS255="",AS255=0),OR(AS255="",AT255=0)),"",IF(OR(AS255="",AS255=0),"DEFINIR PREÇO",IF(OR(AT255="",AT255=0),"DEFINIR FORNECEDOR",IF(OR(AS255&lt;&gt;"",AS255&lt;&gt;0),VLOOKUP(AT255,#REF!,2,FALSE)))))</f>
        <v/>
      </c>
      <c r="AV255" s="217"/>
      <c r="AW255" s="218"/>
      <c r="AX255" s="220" t="str">
        <f t="shared" ca="1" si="97"/>
        <v/>
      </c>
      <c r="AY255" s="195"/>
      <c r="AZ255" s="196"/>
      <c r="BA255" s="209" t="str">
        <f>IF(AND(OR(AY255="",AY255=0),OR(AY255="",AZ255=0)),"",IF(OR(AY255="",AY255=0),"DEFINIR PREÇO",IF(OR(AZ255="",AZ255=0),"DEFINIR FORNECEDOR",IF(OR(AY255&lt;&gt;"",AY255&lt;&gt;0),VLOOKUP(AZ255,#REF!,2,FALSE)))))</f>
        <v/>
      </c>
      <c r="BB255" s="201"/>
      <c r="BC255" s="199"/>
      <c r="BD255" s="220" t="str">
        <f t="shared" ca="1" si="98"/>
        <v/>
      </c>
      <c r="BE255" s="195"/>
      <c r="BF255" s="196"/>
      <c r="BG255" s="194"/>
      <c r="BH255" s="201"/>
      <c r="BI255" s="199"/>
      <c r="BJ255" s="197"/>
    </row>
    <row r="256" spans="1:62" ht="38.25" x14ac:dyDescent="0.25">
      <c r="A256" s="44" t="s">
        <v>405</v>
      </c>
      <c r="B256" s="58" t="s">
        <v>1367</v>
      </c>
      <c r="C256" s="45"/>
      <c r="D256" s="55" t="s">
        <v>1364</v>
      </c>
      <c r="E256" s="45" t="s">
        <v>26</v>
      </c>
      <c r="F256" s="158" t="e">
        <f>VLOOKUP(B256,#REF!,4,FALSE)</f>
        <v>#REF!</v>
      </c>
      <c r="G256" s="159" t="e">
        <f>VLOOKUP(B256,#REF!,8,FALSE)</f>
        <v>#REF!</v>
      </c>
      <c r="H256" s="240" t="s">
        <v>2000</v>
      </c>
      <c r="I256" s="240" t="s">
        <v>2001</v>
      </c>
      <c r="J256" s="57">
        <f>SUM(J257:J258)</f>
        <v>0</v>
      </c>
      <c r="K256" s="241">
        <f t="shared" si="87"/>
        <v>0</v>
      </c>
      <c r="L256" s="238" t="str">
        <f t="shared" si="88"/>
        <v/>
      </c>
      <c r="M256" s="163"/>
      <c r="N256" s="52"/>
      <c r="O256" s="53" t="s">
        <v>26</v>
      </c>
      <c r="P256" s="235">
        <f t="shared" si="89"/>
        <v>0</v>
      </c>
      <c r="Q256" s="236">
        <f t="shared" si="90"/>
        <v>0</v>
      </c>
      <c r="R256" s="236">
        <f t="shared" si="91"/>
        <v>0</v>
      </c>
      <c r="S256" s="236">
        <f t="shared" si="92"/>
        <v>0</v>
      </c>
      <c r="T256" s="236">
        <f t="shared" si="93"/>
        <v>0</v>
      </c>
      <c r="U256" s="237" t="str">
        <f>IF(AA256 = "", "", IF(OR($H256 = PARÂMETROS!$E$5, $H256 = ""), AA256, IF(OR(AA256 &lt; (1-VLOOKUP($H256,PARÂMETROS!$E:$F,2,FALSE))*$P256, AA256 &gt; (1+VLOOKUP($H256,PARÂMETROS!$E:$F,2,FALSE))*$P256),"",AA256)))</f>
        <v/>
      </c>
      <c r="V256" s="237" t="str">
        <f>IF(AG256 = "", "", IF(OR($H256 = PARÂMETROS!$E$5, $H256 = ""), AG256, IF(OR(AG256 &lt; (1-VLOOKUP($H256,PARÂMETROS!$E:$F,2,FALSE))*$P261, AG256 &gt; (1+VLOOKUP($H256,PARÂMETROS!$E:$F,2,FALSE))*$P256),"",AG256)))</f>
        <v/>
      </c>
      <c r="W256" s="237" t="str">
        <f>IF(AM256 = "", "", IF(OR($H256 = PARÂMETROS!$E$5, $H256 = ""), AM256, IF(OR(AM256 &lt; (1-VLOOKUP($H256,PARÂMETROS!$E:$F,2,FALSE))*$P256, AM256 &gt; (1+VLOOKUP($H256,PARÂMETROS!$E:$F,2,FALSE))*$P256),"",AM256)))</f>
        <v/>
      </c>
      <c r="X256" s="237" t="str">
        <f>IF(AS256 = "", "", IF(OR($H256 = PARÂMETROS!$E$5, $H256 = ""), AS256, IF(OR(AS256 &lt; (1-VLOOKUP($H256,PARÂMETROS!$E:$F,2,FALSE))*$P256, AS256 &gt; (1+VLOOKUP($H256,PARÂMETROS!$E:$F,2,FALSE))*$P256),"",AS256)))</f>
        <v/>
      </c>
      <c r="Y256" s="237" t="str">
        <f>IF(AY256 = "", "", IF(OR($H256 = PARÂMETROS!$E$5, $H256 = ""), AY256, IF(OR(AY256 &lt; (1-VLOOKUP($H256,PARÂMETROS!$E:$F,2,FALSE))*$P256, AY256 &gt; (1+VLOOKUP($H256,PARÂMETROS!$E:$F,2,FALSE))*$P256),"",AY256)))</f>
        <v/>
      </c>
      <c r="Z256" s="237" t="str">
        <f>IF(BE256 = "", "", IF(OR($H256 = PARÂMETROS!$E$5, $H256 = ""), BE256, IF(OR(BE256 &lt; (1-VLOOKUP($H256,PARÂMETROS!$E:$F,2,FALSE))*$P256, BE256 &gt; (1+VLOOKUP($H256,PARÂMETROS!$E:$F,2,FALSE))*$P256),"",BE256)))</f>
        <v/>
      </c>
      <c r="AA256" s="207"/>
      <c r="AB256" s="208"/>
      <c r="AC256" s="206"/>
      <c r="AD256" s="217"/>
      <c r="AE256" s="218"/>
      <c r="AF256" s="220" t="str">
        <f t="shared" ca="1" si="94"/>
        <v/>
      </c>
      <c r="AG256" s="229"/>
      <c r="AH256" s="231"/>
      <c r="AI256" s="206"/>
      <c r="AJ256" s="217"/>
      <c r="AK256" s="218"/>
      <c r="AL256" s="220" t="str">
        <f t="shared" ca="1" si="95"/>
        <v/>
      </c>
      <c r="AM256" s="229"/>
      <c r="AN256" s="231"/>
      <c r="AO256" s="206"/>
      <c r="AP256" s="217"/>
      <c r="AQ256" s="218"/>
      <c r="AR256" s="220" t="str">
        <f t="shared" ca="1" si="96"/>
        <v/>
      </c>
      <c r="AS256" s="229"/>
      <c r="AT256" s="231"/>
      <c r="AU256" s="191"/>
      <c r="AV256" s="217"/>
      <c r="AW256" s="218"/>
      <c r="AX256" s="220" t="str">
        <f t="shared" ca="1" si="97"/>
        <v/>
      </c>
      <c r="AY256" s="195"/>
      <c r="AZ256" s="196"/>
      <c r="BA256" s="209" t="str">
        <f>IF(AND(OR(AY256="",AY256=0),OR(AY256="",AZ256=0)),"",IF(OR(AY256="",AY256=0),"DEFINIR PREÇO",IF(OR(AZ256="",AZ256=0),"DEFINIR FORNECEDOR",IF(OR(AY256&lt;&gt;"",AY256&lt;&gt;0),VLOOKUP(AZ256,#REF!,2,FALSE)))))</f>
        <v/>
      </c>
      <c r="BB256" s="201"/>
      <c r="BC256" s="199"/>
      <c r="BD256" s="220" t="str">
        <f t="shared" ca="1" si="98"/>
        <v/>
      </c>
      <c r="BE256" s="195"/>
      <c r="BF256" s="196"/>
      <c r="BG256" s="194"/>
      <c r="BH256" s="201"/>
      <c r="BI256" s="199"/>
      <c r="BJ256" s="197"/>
    </row>
    <row r="257" spans="1:62" ht="38.25" x14ac:dyDescent="0.25">
      <c r="A257" s="44"/>
      <c r="B257" s="58" t="s">
        <v>1368</v>
      </c>
      <c r="C257" s="45"/>
      <c r="D257" s="139" t="s">
        <v>1365</v>
      </c>
      <c r="E257" s="45" t="s">
        <v>23</v>
      </c>
      <c r="F257" s="158"/>
      <c r="G257" s="159"/>
      <c r="H257" s="240" t="s">
        <v>2000</v>
      </c>
      <c r="I257" s="240" t="s">
        <v>2001</v>
      </c>
      <c r="J257" s="242" t="str">
        <f>IFERROR(IF(N257&lt;&gt;"",M257,IF(I257 = PARÂMETROS!$B$5,Q257, IF(I257 = PARÂMETROS!$B$6,R257,IF(I257 = PARÂMETROS!$B$7,S257,IF(I257 = PARÂMETROS!$B$8, T257,"DEFINIR CRITÉRIO"))))),"SEM PREÇO")</f>
        <v>SEM PREÇO</v>
      </c>
      <c r="K257" s="241">
        <f t="shared" si="87"/>
        <v>0</v>
      </c>
      <c r="L257" s="238" t="str">
        <f t="shared" si="88"/>
        <v/>
      </c>
      <c r="M257" s="180" t="e">
        <f>VLOOKUP(N257,#REF!,4,FALSE)</f>
        <v>#REF!</v>
      </c>
      <c r="N257" s="52">
        <v>13215</v>
      </c>
      <c r="O257" s="53" t="s">
        <v>404</v>
      </c>
      <c r="P257" s="235">
        <f t="shared" si="89"/>
        <v>0</v>
      </c>
      <c r="Q257" s="236">
        <f t="shared" si="90"/>
        <v>0</v>
      </c>
      <c r="R257" s="236">
        <f t="shared" si="91"/>
        <v>0</v>
      </c>
      <c r="S257" s="236">
        <f t="shared" si="92"/>
        <v>0</v>
      </c>
      <c r="T257" s="236">
        <f t="shared" si="93"/>
        <v>0</v>
      </c>
      <c r="U257" s="237" t="str">
        <f>IF(AA257 = "", "", IF(OR($H257 = PARÂMETROS!$E$5, $H257 = ""), AA257, IF(OR(AA257 &lt; (1-VLOOKUP($H257,PARÂMETROS!$E:$F,2,FALSE))*$P257, AA257 &gt; (1+VLOOKUP($H257,PARÂMETROS!$E:$F,2,FALSE))*$P257),"",AA257)))</f>
        <v/>
      </c>
      <c r="V257" s="237" t="str">
        <f>IF(AG257 = "", "", IF(OR($H257 = PARÂMETROS!$E$5, $H257 = ""), AG257, IF(OR(AG257 &lt; (1-VLOOKUP($H257,PARÂMETROS!$E:$F,2,FALSE))*$P262, AG257 &gt; (1+VLOOKUP($H257,PARÂMETROS!$E:$F,2,FALSE))*$P257),"",AG257)))</f>
        <v/>
      </c>
      <c r="W257" s="237" t="str">
        <f>IF(AM257 = "", "", IF(OR($H257 = PARÂMETROS!$E$5, $H257 = ""), AM257, IF(OR(AM257 &lt; (1-VLOOKUP($H257,PARÂMETROS!$E:$F,2,FALSE))*$P257, AM257 &gt; (1+VLOOKUP($H257,PARÂMETROS!$E:$F,2,FALSE))*$P257),"",AM257)))</f>
        <v/>
      </c>
      <c r="X257" s="237" t="str">
        <f>IF(AS257 = "", "", IF(OR($H257 = PARÂMETROS!$E$5, $H257 = ""), AS257, IF(OR(AS257 &lt; (1-VLOOKUP($H257,PARÂMETROS!$E:$F,2,FALSE))*$P257, AS257 &gt; (1+VLOOKUP($H257,PARÂMETROS!$E:$F,2,FALSE))*$P257),"",AS257)))</f>
        <v/>
      </c>
      <c r="Y257" s="237" t="str">
        <f>IF(AY257 = "", "", IF(OR($H257 = PARÂMETROS!$E$5, $H257 = ""), AY257, IF(OR(AY257 &lt; (1-VLOOKUP($H257,PARÂMETROS!$E:$F,2,FALSE))*$P257, AY257 &gt; (1+VLOOKUP($H257,PARÂMETROS!$E:$F,2,FALSE))*$P257),"",AY257)))</f>
        <v/>
      </c>
      <c r="Z257" s="237" t="str">
        <f>IF(BE257 = "", "", IF(OR($H257 = PARÂMETROS!$E$5, $H257 = ""), BE257, IF(OR(BE257 &lt; (1-VLOOKUP($H257,PARÂMETROS!$E:$F,2,FALSE))*$P257, BE257 &gt; (1+VLOOKUP($H257,PARÂMETROS!$E:$F,2,FALSE))*$P257),"",BE257)))</f>
        <v/>
      </c>
      <c r="AA257" s="207"/>
      <c r="AB257" s="208"/>
      <c r="AC257" s="206"/>
      <c r="AD257" s="217"/>
      <c r="AE257" s="218"/>
      <c r="AF257" s="220" t="str">
        <f t="shared" ca="1" si="94"/>
        <v/>
      </c>
      <c r="AG257" s="229"/>
      <c r="AH257" s="231"/>
      <c r="AI257" s="206"/>
      <c r="AJ257" s="217"/>
      <c r="AK257" s="218"/>
      <c r="AL257" s="220" t="str">
        <f t="shared" ca="1" si="95"/>
        <v/>
      </c>
      <c r="AM257" s="229"/>
      <c r="AN257" s="231"/>
      <c r="AO257" s="206"/>
      <c r="AP257" s="217"/>
      <c r="AQ257" s="218"/>
      <c r="AR257" s="220" t="str">
        <f t="shared" ca="1" si="96"/>
        <v/>
      </c>
      <c r="AS257" s="229"/>
      <c r="AT257" s="231"/>
      <c r="AU257" s="191"/>
      <c r="AV257" s="217"/>
      <c r="AW257" s="218"/>
      <c r="AX257" s="220" t="str">
        <f t="shared" ca="1" si="97"/>
        <v/>
      </c>
      <c r="AY257" s="195"/>
      <c r="AZ257" s="196"/>
      <c r="BA257" s="209" t="str">
        <f>IF(AND(OR(AY257="",AY257=0),OR(AY257="",AZ257=0)),"",IF(OR(AY257="",AY257=0),"DEFINIR PREÇO",IF(OR(AZ257="",AZ257=0),"DEFINIR FORNECEDOR",IF(OR(AY257&lt;&gt;"",AY257&lt;&gt;0),VLOOKUP(AZ257,#REF!,2,FALSE)))))</f>
        <v/>
      </c>
      <c r="BB257" s="201"/>
      <c r="BC257" s="199"/>
      <c r="BD257" s="220" t="str">
        <f t="shared" ca="1" si="98"/>
        <v/>
      </c>
      <c r="BE257" s="195"/>
      <c r="BF257" s="196"/>
      <c r="BG257" s="194"/>
      <c r="BH257" s="201"/>
      <c r="BI257" s="199"/>
      <c r="BJ257" s="197"/>
    </row>
    <row r="258" spans="1:62" ht="25.5" x14ac:dyDescent="0.25">
      <c r="A258" s="44"/>
      <c r="B258" s="58" t="s">
        <v>1369</v>
      </c>
      <c r="C258" s="45"/>
      <c r="D258" s="139" t="s">
        <v>1366</v>
      </c>
      <c r="E258" s="45" t="s">
        <v>23</v>
      </c>
      <c r="F258" s="158"/>
      <c r="G258" s="159"/>
      <c r="H258" s="240" t="s">
        <v>2000</v>
      </c>
      <c r="I258" s="240" t="s">
        <v>2001</v>
      </c>
      <c r="J258" s="242" t="str">
        <f>IFERROR(IF(N258&lt;&gt;"",M258,IF(I258 = PARÂMETROS!$B$5,Q258, IF(I258 = PARÂMETROS!$B$6,R258,IF(I258 = PARÂMETROS!$B$7,S258,IF(I258 = PARÂMETROS!$B$8, T258,"DEFINIR CRITÉRIO"))))),"SEM PREÇO")</f>
        <v>SEM PREÇO</v>
      </c>
      <c r="K258" s="241">
        <f t="shared" si="87"/>
        <v>0</v>
      </c>
      <c r="L258" s="238" t="str">
        <f t="shared" si="88"/>
        <v/>
      </c>
      <c r="M258" s="180" t="e">
        <f>VLOOKUP(N258,#REF!,4,FALSE)</f>
        <v>#REF!</v>
      </c>
      <c r="N258" s="52">
        <v>37741</v>
      </c>
      <c r="O258" s="53" t="s">
        <v>404</v>
      </c>
      <c r="P258" s="235">
        <f t="shared" si="89"/>
        <v>0</v>
      </c>
      <c r="Q258" s="236">
        <f t="shared" si="90"/>
        <v>0</v>
      </c>
      <c r="R258" s="236">
        <f t="shared" si="91"/>
        <v>0</v>
      </c>
      <c r="S258" s="236">
        <f t="shared" si="92"/>
        <v>0</v>
      </c>
      <c r="T258" s="236">
        <f t="shared" si="93"/>
        <v>0</v>
      </c>
      <c r="U258" s="237" t="str">
        <f>IF(AA258 = "", "", IF(OR($H258 = PARÂMETROS!$E$5, $H258 = ""), AA258, IF(OR(AA258 &lt; (1-VLOOKUP($H258,PARÂMETROS!$E:$F,2,FALSE))*$P258, AA258 &gt; (1+VLOOKUP($H258,PARÂMETROS!$E:$F,2,FALSE))*$P258),"",AA258)))</f>
        <v/>
      </c>
      <c r="V258" s="237" t="str">
        <f>IF(AG258 = "", "", IF(OR($H258 = PARÂMETROS!$E$5, $H258 = ""), AG258, IF(OR(AG258 &lt; (1-VLOOKUP($H258,PARÂMETROS!$E:$F,2,FALSE))*$P263, AG258 &gt; (1+VLOOKUP($H258,PARÂMETROS!$E:$F,2,FALSE))*$P258),"",AG258)))</f>
        <v/>
      </c>
      <c r="W258" s="237" t="str">
        <f>IF(AM258 = "", "", IF(OR($H258 = PARÂMETROS!$E$5, $H258 = ""), AM258, IF(OR(AM258 &lt; (1-VLOOKUP($H258,PARÂMETROS!$E:$F,2,FALSE))*$P258, AM258 &gt; (1+VLOOKUP($H258,PARÂMETROS!$E:$F,2,FALSE))*$P258),"",AM258)))</f>
        <v/>
      </c>
      <c r="X258" s="237" t="str">
        <f>IF(AS258 = "", "", IF(OR($H258 = PARÂMETROS!$E$5, $H258 = ""), AS258, IF(OR(AS258 &lt; (1-VLOOKUP($H258,PARÂMETROS!$E:$F,2,FALSE))*$P258, AS258 &gt; (1+VLOOKUP($H258,PARÂMETROS!$E:$F,2,FALSE))*$P258),"",AS258)))</f>
        <v/>
      </c>
      <c r="Y258" s="237" t="str">
        <f>IF(AY258 = "", "", IF(OR($H258 = PARÂMETROS!$E$5, $H258 = ""), AY258, IF(OR(AY258 &lt; (1-VLOOKUP($H258,PARÂMETROS!$E:$F,2,FALSE))*$P258, AY258 &gt; (1+VLOOKUP($H258,PARÂMETROS!$E:$F,2,FALSE))*$P258),"",AY258)))</f>
        <v/>
      </c>
      <c r="Z258" s="237" t="str">
        <f>IF(BE258 = "", "", IF(OR($H258 = PARÂMETROS!$E$5, $H258 = ""), BE258, IF(OR(BE258 &lt; (1-VLOOKUP($H258,PARÂMETROS!$E:$F,2,FALSE))*$P258, BE258 &gt; (1+VLOOKUP($H258,PARÂMETROS!$E:$F,2,FALSE))*$P258),"",BE258)))</f>
        <v/>
      </c>
      <c r="AA258" s="207"/>
      <c r="AB258" s="208"/>
      <c r="AC258" s="206"/>
      <c r="AD258" s="217"/>
      <c r="AE258" s="218"/>
      <c r="AF258" s="220" t="str">
        <f t="shared" ca="1" si="94"/>
        <v/>
      </c>
      <c r="AG258" s="229"/>
      <c r="AH258" s="231"/>
      <c r="AI258" s="206"/>
      <c r="AJ258" s="217"/>
      <c r="AK258" s="218"/>
      <c r="AL258" s="220" t="str">
        <f t="shared" ca="1" si="95"/>
        <v/>
      </c>
      <c r="AM258" s="229"/>
      <c r="AN258" s="231"/>
      <c r="AO258" s="206"/>
      <c r="AP258" s="217"/>
      <c r="AQ258" s="218"/>
      <c r="AR258" s="220" t="str">
        <f t="shared" ca="1" si="96"/>
        <v/>
      </c>
      <c r="AS258" s="229"/>
      <c r="AT258" s="231"/>
      <c r="AU258" s="191"/>
      <c r="AV258" s="217"/>
      <c r="AW258" s="218"/>
      <c r="AX258" s="220" t="str">
        <f t="shared" ca="1" si="97"/>
        <v/>
      </c>
      <c r="AY258" s="195"/>
      <c r="AZ258" s="196"/>
      <c r="BA258" s="209" t="str">
        <f>IF(AND(OR(AY258="",AY258=0),OR(AY258="",AZ258=0)),"",IF(OR(AY258="",AY258=0),"DEFINIR PREÇO",IF(OR(AZ258="",AZ258=0),"DEFINIR FORNECEDOR",IF(OR(AY258&lt;&gt;"",AY258&lt;&gt;0),VLOOKUP(AZ258,#REF!,2,FALSE)))))</f>
        <v/>
      </c>
      <c r="BB258" s="201"/>
      <c r="BC258" s="199"/>
      <c r="BD258" s="220" t="str">
        <f t="shared" ca="1" si="98"/>
        <v/>
      </c>
      <c r="BE258" s="195"/>
      <c r="BF258" s="196"/>
      <c r="BG258" s="194"/>
      <c r="BH258" s="201"/>
      <c r="BI258" s="199"/>
      <c r="BJ258" s="197"/>
    </row>
    <row r="259" spans="1:62" x14ac:dyDescent="0.25">
      <c r="A259" s="44" t="s">
        <v>405</v>
      </c>
      <c r="B259" s="58" t="s">
        <v>1394</v>
      </c>
      <c r="C259" s="45"/>
      <c r="D259" s="55" t="s">
        <v>1395</v>
      </c>
      <c r="E259" s="45" t="s">
        <v>26</v>
      </c>
      <c r="F259" s="46" t="e">
        <f>VLOOKUP(B259,#REF!,7,FALSE)</f>
        <v>#REF!</v>
      </c>
      <c r="G259" s="47" t="e">
        <f>VLOOKUP(B259,#REF!,9,FALSE)</f>
        <v>#REF!</v>
      </c>
      <c r="H259" s="240" t="s">
        <v>2000</v>
      </c>
      <c r="I259" s="240" t="s">
        <v>2001</v>
      </c>
      <c r="J259" s="242" t="str">
        <f>IFERROR(IF(N259&lt;&gt;"",M259,IF(I259 = PARÂMETROS!$B$5,Q259, IF(I259 = PARÂMETROS!$B$6,R259,IF(I259 = PARÂMETROS!$B$7,S259,IF(I259 = PARÂMETROS!$B$8, T259,"DEFINIR CRITÉRIO"))))),"SEM PREÇO")</f>
        <v>SEM PREÇO</v>
      </c>
      <c r="K259" s="241">
        <f t="shared" si="87"/>
        <v>0</v>
      </c>
      <c r="L259" s="238" t="str">
        <f t="shared" si="88"/>
        <v/>
      </c>
      <c r="M259" s="180" t="e">
        <f>F259</f>
        <v>#REF!</v>
      </c>
      <c r="N259" s="52" t="s">
        <v>1396</v>
      </c>
      <c r="O259" s="53" t="s">
        <v>1264</v>
      </c>
      <c r="P259" s="235">
        <f t="shared" si="89"/>
        <v>0</v>
      </c>
      <c r="Q259" s="236">
        <f t="shared" si="90"/>
        <v>0</v>
      </c>
      <c r="R259" s="236">
        <f t="shared" si="91"/>
        <v>0</v>
      </c>
      <c r="S259" s="236">
        <f t="shared" si="92"/>
        <v>0</v>
      </c>
      <c r="T259" s="236">
        <f t="shared" si="93"/>
        <v>0</v>
      </c>
      <c r="U259" s="237" t="str">
        <f>IF(AA259 = "", "", IF(OR($H259 = PARÂMETROS!$E$5, $H259 = ""), AA259, IF(OR(AA259 &lt; (1-VLOOKUP($H259,PARÂMETROS!$E:$F,2,FALSE))*$P259, AA259 &gt; (1+VLOOKUP($H259,PARÂMETROS!$E:$F,2,FALSE))*$P259),"",AA259)))</f>
        <v/>
      </c>
      <c r="V259" s="237" t="str">
        <f>IF(AG259 = "", "", IF(OR($H259 = PARÂMETROS!$E$5, $H259 = ""), AG259, IF(OR(AG259 &lt; (1-VLOOKUP($H259,PARÂMETROS!$E:$F,2,FALSE))*$P264, AG259 &gt; (1+VLOOKUP($H259,PARÂMETROS!$E:$F,2,FALSE))*$P259),"",AG259)))</f>
        <v/>
      </c>
      <c r="W259" s="237" t="str">
        <f>IF(AM259 = "", "", IF(OR($H259 = PARÂMETROS!$E$5, $H259 = ""), AM259, IF(OR(AM259 &lt; (1-VLOOKUP($H259,PARÂMETROS!$E:$F,2,FALSE))*$P259, AM259 &gt; (1+VLOOKUP($H259,PARÂMETROS!$E:$F,2,FALSE))*$P259),"",AM259)))</f>
        <v/>
      </c>
      <c r="X259" s="237" t="str">
        <f>IF(AS259 = "", "", IF(OR($H259 = PARÂMETROS!$E$5, $H259 = ""), AS259, IF(OR(AS259 &lt; (1-VLOOKUP($H259,PARÂMETROS!$E:$F,2,FALSE))*$P259, AS259 &gt; (1+VLOOKUP($H259,PARÂMETROS!$E:$F,2,FALSE))*$P259),"",AS259)))</f>
        <v/>
      </c>
      <c r="Y259" s="237" t="str">
        <f>IF(AY259 = "", "", IF(OR($H259 = PARÂMETROS!$E$5, $H259 = ""), AY259, IF(OR(AY259 &lt; (1-VLOOKUP($H259,PARÂMETROS!$E:$F,2,FALSE))*$P259, AY259 &gt; (1+VLOOKUP($H259,PARÂMETROS!$E:$F,2,FALSE))*$P259),"",AY259)))</f>
        <v/>
      </c>
      <c r="Z259" s="237" t="str">
        <f>IF(BE259 = "", "", IF(OR($H259 = PARÂMETROS!$E$5, $H259 = ""), BE259, IF(OR(BE259 &lt; (1-VLOOKUP($H259,PARÂMETROS!$E:$F,2,FALSE))*$P259, BE259 &gt; (1+VLOOKUP($H259,PARÂMETROS!$E:$F,2,FALSE))*$P259),"",BE259)))</f>
        <v/>
      </c>
      <c r="AA259" s="207"/>
      <c r="AB259" s="208"/>
      <c r="AC259" s="206"/>
      <c r="AD259" s="217"/>
      <c r="AE259" s="218"/>
      <c r="AF259" s="220" t="str">
        <f t="shared" ref="AF259:AF270" ca="1" si="113">IF(AE259 = "", "", IF(AE259 + 180 &gt; TODAY(),"VIGENTE", "DESATUALIZADA"))</f>
        <v/>
      </c>
      <c r="AG259" s="229"/>
      <c r="AH259" s="231"/>
      <c r="AI259" s="206"/>
      <c r="AJ259" s="217"/>
      <c r="AK259" s="218"/>
      <c r="AL259" s="220" t="str">
        <f t="shared" ref="AL259:AL266" ca="1" si="114">IF(AK259 = "", "", IF(AK259 + 180 &gt; TODAY(),"VIGENTE", "DESATUALIZADA"))</f>
        <v/>
      </c>
      <c r="AM259" s="229"/>
      <c r="AN259" s="231"/>
      <c r="AO259" s="206"/>
      <c r="AP259" s="217"/>
      <c r="AQ259" s="218"/>
      <c r="AR259" s="220" t="str">
        <f t="shared" ref="AR259:AR264" ca="1" si="115">IF(AQ259 = "", "", IF(AQ259 + 180 &gt; TODAY(),"VIGENTE", "DESATUALIZADA"))</f>
        <v/>
      </c>
      <c r="AS259" s="229"/>
      <c r="AT259" s="231"/>
      <c r="AU259" s="191"/>
      <c r="AV259" s="217"/>
      <c r="AW259" s="218"/>
      <c r="AX259" s="220" t="str">
        <f t="shared" ref="AX259:AX264" ca="1" si="116">IF(AW259 = "", "", IF(AW259 + 180 &gt; TODAY(),"VIGENTE", "DESATUALIZADA"))</f>
        <v/>
      </c>
      <c r="AY259" s="195"/>
      <c r="AZ259" s="196"/>
      <c r="BA259" s="209" t="str">
        <f>IF(AND(OR(AY259="",AY259=0),OR(AY259="",AZ259=0)),"",IF(OR(AY259="",AY259=0),"DEFINIR PREÇO",IF(OR(AZ259="",AZ259=0),"DEFINIR FORNECEDOR",IF(OR(AY259&lt;&gt;"",AY259&lt;&gt;0),VLOOKUP(AZ259,#REF!,2,FALSE)))))</f>
        <v/>
      </c>
      <c r="BB259" s="201"/>
      <c r="BC259" s="199"/>
      <c r="BD259" s="220" t="str">
        <f t="shared" ref="BD259:BD278" ca="1" si="117">IF(BC259 = "", "", IF(BC259 + 180 &gt; TODAY(),"VIGENTE", "DESATUALIZADA"))</f>
        <v/>
      </c>
      <c r="BE259" s="195"/>
      <c r="BF259" s="196"/>
      <c r="BG259" s="194"/>
      <c r="BH259" s="201"/>
      <c r="BI259" s="199"/>
      <c r="BJ259" s="197"/>
    </row>
    <row r="260" spans="1:62" ht="38.25" x14ac:dyDescent="0.25">
      <c r="A260" s="44" t="s">
        <v>405</v>
      </c>
      <c r="B260" s="58" t="s">
        <v>1400</v>
      </c>
      <c r="C260" s="45"/>
      <c r="D260" s="55" t="s">
        <v>1401</v>
      </c>
      <c r="E260" s="45" t="s">
        <v>26</v>
      </c>
      <c r="F260" s="158" t="e">
        <f>VLOOKUP(B260,#REF!,4,FALSE)</f>
        <v>#REF!</v>
      </c>
      <c r="G260" s="159" t="e">
        <f>VLOOKUP(B260,#REF!,8,FALSE)</f>
        <v>#REF!</v>
      </c>
      <c r="H260" s="240" t="s">
        <v>2000</v>
      </c>
      <c r="I260" s="240" t="s">
        <v>2001</v>
      </c>
      <c r="J260" s="242" t="str">
        <f>IFERROR(IF(N260&lt;&gt;"",M260,IF(I260 = PARÂMETROS!$B$5,Q260, IF(I260 = PARÂMETROS!$B$6,R260,IF(I260 = PARÂMETROS!$B$7,S260,IF(I260 = PARÂMETROS!$B$8, T260,"DEFINIR CRITÉRIO"))))),"SEM PREÇO")</f>
        <v>DEFINIR CRITÉRIO</v>
      </c>
      <c r="K260" s="241" t="str">
        <f t="shared" si="87"/>
        <v/>
      </c>
      <c r="L260" s="238" t="str">
        <f t="shared" si="88"/>
        <v/>
      </c>
      <c r="M260" s="163"/>
      <c r="N260" s="52"/>
      <c r="O260" s="53" t="s">
        <v>26</v>
      </c>
      <c r="P260" s="235">
        <f t="shared" si="89"/>
        <v>3757.1</v>
      </c>
      <c r="Q260" s="236">
        <f t="shared" si="90"/>
        <v>0</v>
      </c>
      <c r="R260" s="236">
        <f t="shared" si="91"/>
        <v>0</v>
      </c>
      <c r="S260" s="236">
        <f t="shared" si="92"/>
        <v>0</v>
      </c>
      <c r="T260" s="236">
        <f t="shared" si="93"/>
        <v>0</v>
      </c>
      <c r="U260" s="237" t="e">
        <f>IF(AA260 = "", "", IF(OR($H260 = PARÂMETROS!$E$5, $H260 = ""), AA260, IF(OR(AA260 &lt; (1-VLOOKUP($H260,PARÂMETROS!$E:$F,2,FALSE))*$P260, AA260 &gt; (1+VLOOKUP($H260,PARÂMETROS!$E:$F,2,FALSE))*$P260),"",AA260)))</f>
        <v>#N/A</v>
      </c>
      <c r="V260" s="237" t="e">
        <f>IF(AG260 = "", "", IF(OR($H260 = PARÂMETROS!$E$5, $H260 = ""), AG260, IF(OR(AG260 &lt; (1-VLOOKUP($H260,PARÂMETROS!$E:$F,2,FALSE))*$P265, AG260 &gt; (1+VLOOKUP($H260,PARÂMETROS!$E:$F,2,FALSE))*$P260),"",AG260)))</f>
        <v>#N/A</v>
      </c>
      <c r="W260" s="237" t="e">
        <f>IF(AM260 = "", "", IF(OR($H260 = PARÂMETROS!$E$5, $H260 = ""), AM260, IF(OR(AM260 &lt; (1-VLOOKUP($H260,PARÂMETROS!$E:$F,2,FALSE))*$P260, AM260 &gt; (1+VLOOKUP($H260,PARÂMETROS!$E:$F,2,FALSE))*$P260),"",AM260)))</f>
        <v>#N/A</v>
      </c>
      <c r="X260" s="237" t="str">
        <f>IF(AS260 = "", "", IF(OR($H260 = PARÂMETROS!$E$5, $H260 = ""), AS260, IF(OR(AS260 &lt; (1-VLOOKUP($H260,PARÂMETROS!$E:$F,2,FALSE))*$P260, AS260 &gt; (1+VLOOKUP($H260,PARÂMETROS!$E:$F,2,FALSE))*$P260),"",AS260)))</f>
        <v/>
      </c>
      <c r="Y260" s="237" t="str">
        <f>IF(AY260 = "", "", IF(OR($H260 = PARÂMETROS!$E$5, $H260 = ""), AY260, IF(OR(AY260 &lt; (1-VLOOKUP($H260,PARÂMETROS!$E:$F,2,FALSE))*$P260, AY260 &gt; (1+VLOOKUP($H260,PARÂMETROS!$E:$F,2,FALSE))*$P260),"",AY260)))</f>
        <v/>
      </c>
      <c r="Z260" s="237" t="str">
        <f>IF(BE260 = "", "", IF(OR($H260 = PARÂMETROS!$E$5, $H260 = ""), BE260, IF(OR(BE260 &lt; (1-VLOOKUP($H260,PARÂMETROS!$E:$F,2,FALSE))*$P260, BE260 &gt; (1+VLOOKUP($H260,PARÂMETROS!$E:$F,2,FALSE))*$P260),"",BE260)))</f>
        <v/>
      </c>
      <c r="AA260" s="207">
        <v>3111</v>
      </c>
      <c r="AB260" s="208">
        <v>348</v>
      </c>
      <c r="AC260" s="206" t="e">
        <f>IF(AND(OR(AA260="",AA260=0),OR(AA260="",AB260=0)),"",IF(OR(AA260="",AA260=0),"DEFINIR PREÇO",IF(OR(AB260="",AB260=0),"DEFINIR FORNECEDOR",IF(OR(AA260&lt;&gt;"",AA260&lt;&gt;0),VLOOKUP(AB260,#REF!,2,FALSE)))))</f>
        <v>#REF!</v>
      </c>
      <c r="AD260" s="217" t="s">
        <v>1977</v>
      </c>
      <c r="AE260" s="218">
        <v>44936</v>
      </c>
      <c r="AF260" s="220" t="str">
        <f t="shared" ca="1" si="113"/>
        <v>DESATUALIZADA</v>
      </c>
      <c r="AG260" s="229">
        <v>3339.63</v>
      </c>
      <c r="AH260" s="231">
        <v>2012</v>
      </c>
      <c r="AI260" s="206" t="e">
        <f>IF(AND(OR(AG260="",AG260=0),OR(AG260="",AH260=0)),"",IF(OR(AG260="",AG260=0),"DEFINIR PREÇO",IF(OR(AH260="",AH260=0),"DEFINIR FORNECEDOR",IF(OR(AG260&lt;&gt;"",AG260&lt;&gt;0),VLOOKUP(AH260,#REF!,2,FALSE)))))</f>
        <v>#REF!</v>
      </c>
      <c r="AJ260" s="217" t="s">
        <v>1977</v>
      </c>
      <c r="AK260" s="218">
        <v>44936</v>
      </c>
      <c r="AL260" s="220" t="str">
        <f t="shared" ca="1" si="114"/>
        <v>DESATUALIZADA</v>
      </c>
      <c r="AM260" s="229">
        <v>4820.67</v>
      </c>
      <c r="AN260" s="231">
        <v>307</v>
      </c>
      <c r="AO260" s="206" t="e">
        <f>IF(AND(OR(AM260="",AM260=0),OR(AM260="",AN260=0)),"",IF(OR(AM260="",AM260=0),"DEFINIR PREÇO",IF(OR(AN260="",AN260=0),"DEFINIR FORNECEDOR",IF(OR(AM260&lt;&gt;"",AM260&lt;&gt;0),VLOOKUP(AN260,#REF!,2,FALSE)))))</f>
        <v>#REF!</v>
      </c>
      <c r="AP260" s="217" t="s">
        <v>1977</v>
      </c>
      <c r="AQ260" s="218">
        <v>44936</v>
      </c>
      <c r="AR260" s="220" t="str">
        <f t="shared" ca="1" si="115"/>
        <v>DESATUALIZADA</v>
      </c>
      <c r="AS260" s="229"/>
      <c r="AT260" s="231"/>
      <c r="AU260" s="191"/>
      <c r="AV260" s="217"/>
      <c r="AW260" s="218"/>
      <c r="AX260" s="220" t="str">
        <f t="shared" ca="1" si="116"/>
        <v/>
      </c>
      <c r="AY260" s="195"/>
      <c r="AZ260" s="196"/>
      <c r="BA260" s="209" t="str">
        <f>IF(AND(OR(AY260="",AY260=0),OR(AY260="",AZ260=0)),"",IF(OR(AY260="",AY260=0),"DEFINIR PREÇO",IF(OR(AZ260="",AZ260=0),"DEFINIR FORNECEDOR",IF(OR(AY260&lt;&gt;"",AY260&lt;&gt;0),VLOOKUP(AZ260,#REF!,2,FALSE)))))</f>
        <v/>
      </c>
      <c r="BB260" s="201"/>
      <c r="BC260" s="199"/>
      <c r="BD260" s="220" t="str">
        <f t="shared" ca="1" si="117"/>
        <v/>
      </c>
      <c r="BE260" s="195"/>
      <c r="BF260" s="196"/>
      <c r="BG260" s="194"/>
      <c r="BH260" s="201"/>
      <c r="BI260" s="199"/>
      <c r="BJ260" s="197"/>
    </row>
    <row r="261" spans="1:62" ht="38.25" x14ac:dyDescent="0.25">
      <c r="A261" s="44" t="s">
        <v>405</v>
      </c>
      <c r="B261" s="58" t="s">
        <v>1402</v>
      </c>
      <c r="C261" s="45"/>
      <c r="D261" s="55" t="s">
        <v>1415</v>
      </c>
      <c r="E261" s="45" t="s">
        <v>26</v>
      </c>
      <c r="F261" s="158" t="e">
        <f>VLOOKUP(B261,#REF!,4,FALSE)</f>
        <v>#REF!</v>
      </c>
      <c r="G261" s="159" t="e">
        <f>VLOOKUP(B261,#REF!,8,FALSE)</f>
        <v>#REF!</v>
      </c>
      <c r="H261" s="240" t="s">
        <v>2000</v>
      </c>
      <c r="I261" s="240" t="s">
        <v>2001</v>
      </c>
      <c r="J261" s="242" t="str">
        <f>IFERROR(IF(N261&lt;&gt;"",M261,IF(I261 = PARÂMETROS!$B$5,Q261, IF(I261 = PARÂMETROS!$B$6,R261,IF(I261 = PARÂMETROS!$B$7,S261,IF(I261 = PARÂMETROS!$B$8, T261,"DEFINIR CRITÉRIO"))))),"SEM PREÇO")</f>
        <v>DEFINIR CRITÉRIO</v>
      </c>
      <c r="K261" s="241" t="str">
        <f t="shared" ref="K261:K278" si="118">IF(OR(J261="", J261="DEFINIR VALOR", J261="DEFINIR CRITÉRIO"),"",IFERROR(_xlfn.STDEV.P(AA261,AG261,AM261,AS261,AY261,BE261),0))</f>
        <v/>
      </c>
      <c r="L261" s="238" t="str">
        <f t="shared" ref="L261:L278" si="119">IF(OR(P261="", P261="DEFINIR VALOR", P261="DEFINIR CRITÉRIO",K261 = ""),"", IF(P261 = 0, "", K261/P261))</f>
        <v/>
      </c>
      <c r="M261" s="163"/>
      <c r="N261" s="52"/>
      <c r="O261" s="53" t="s">
        <v>26</v>
      </c>
      <c r="P261" s="235">
        <f t="shared" ref="P261:P278" si="120">IFERROR(AVERAGE(AA261,AG261,AM261,AS261,AY261,BE261),0)</f>
        <v>8129.88</v>
      </c>
      <c r="Q261" s="236">
        <f t="shared" ref="Q261:Q278" si="121">IFERROR(AVERAGE(U261:Z261),0)</f>
        <v>0</v>
      </c>
      <c r="R261" s="236">
        <f t="shared" ref="R261:R278" si="122">IFERROR(MEDIAN(U261:Z261),0)</f>
        <v>0</v>
      </c>
      <c r="S261" s="236">
        <f t="shared" ref="S261:S278" si="123">IFERROR(SMALL(U261:Z261,1),0)</f>
        <v>0</v>
      </c>
      <c r="T261" s="236">
        <f t="shared" ref="T261:T278" si="124">IFERROR(_xlfn.MODE.SNGL(U261:Z261),0)</f>
        <v>0</v>
      </c>
      <c r="U261" s="237" t="e">
        <f>IF(AA261 = "", "", IF(OR($H261 = PARÂMETROS!$E$5, $H261 = ""), AA261, IF(OR(AA261 &lt; (1-VLOOKUP($H261,PARÂMETROS!$E:$F,2,FALSE))*$P261, AA261 &gt; (1+VLOOKUP($H261,PARÂMETROS!$E:$F,2,FALSE))*$P261),"",AA261)))</f>
        <v>#N/A</v>
      </c>
      <c r="V261" s="237" t="e">
        <f>IF(AG261 = "", "", IF(OR($H261 = PARÂMETROS!$E$5, $H261 = ""), AG261, IF(OR(AG261 &lt; (1-VLOOKUP($H261,PARÂMETROS!$E:$F,2,FALSE))*$P266, AG261 &gt; (1+VLOOKUP($H261,PARÂMETROS!$E:$F,2,FALSE))*$P261),"",AG261)))</f>
        <v>#N/A</v>
      </c>
      <c r="W261" s="237" t="e">
        <f>IF(AM261 = "", "", IF(OR($H261 = PARÂMETROS!$E$5, $H261 = ""), AM261, IF(OR(AM261 &lt; (1-VLOOKUP($H261,PARÂMETROS!$E:$F,2,FALSE))*$P261, AM261 &gt; (1+VLOOKUP($H261,PARÂMETROS!$E:$F,2,FALSE))*$P261),"",AM261)))</f>
        <v>#N/A</v>
      </c>
      <c r="X261" s="237" t="str">
        <f>IF(AS261 = "", "", IF(OR($H261 = PARÂMETROS!$E$5, $H261 = ""), AS261, IF(OR(AS261 &lt; (1-VLOOKUP($H261,PARÂMETROS!$E:$F,2,FALSE))*$P261, AS261 &gt; (1+VLOOKUP($H261,PARÂMETROS!$E:$F,2,FALSE))*$P261),"",AS261)))</f>
        <v/>
      </c>
      <c r="Y261" s="237" t="str">
        <f>IF(AY261 = "", "", IF(OR($H261 = PARÂMETROS!$E$5, $H261 = ""), AY261, IF(OR(AY261 &lt; (1-VLOOKUP($H261,PARÂMETROS!$E:$F,2,FALSE))*$P261, AY261 &gt; (1+VLOOKUP($H261,PARÂMETROS!$E:$F,2,FALSE))*$P261),"",AY261)))</f>
        <v/>
      </c>
      <c r="Z261" s="237" t="str">
        <f>IF(BE261 = "", "", IF(OR($H261 = PARÂMETROS!$E$5, $H261 = ""), BE261, IF(OR(BE261 &lt; (1-VLOOKUP($H261,PARÂMETROS!$E:$F,2,FALSE))*$P261, BE261 &gt; (1+VLOOKUP($H261,PARÂMETROS!$E:$F,2,FALSE))*$P261),"",BE261)))</f>
        <v/>
      </c>
      <c r="AA261" s="207">
        <v>7204.33</v>
      </c>
      <c r="AB261" s="208">
        <v>348</v>
      </c>
      <c r="AC261" s="206" t="e">
        <f>IF(AND(OR(AA261="",AA261=0),OR(AA261="",AB261=0)),"",IF(OR(AA261="",AA261=0),"DEFINIR PREÇO",IF(OR(AB261="",AB261=0),"DEFINIR FORNECEDOR",IF(OR(AA261&lt;&gt;"",AA261&lt;&gt;0),VLOOKUP(AB261,#REF!,2,FALSE)))))</f>
        <v>#REF!</v>
      </c>
      <c r="AD261" s="217" t="s">
        <v>1977</v>
      </c>
      <c r="AE261" s="218">
        <v>44936</v>
      </c>
      <c r="AF261" s="220" t="str">
        <f t="shared" ca="1" si="113"/>
        <v>DESATUALIZADA</v>
      </c>
      <c r="AG261" s="229">
        <v>5006.5</v>
      </c>
      <c r="AH261" s="231">
        <v>2012</v>
      </c>
      <c r="AI261" s="206" t="e">
        <f>IF(AND(OR(AG261="",AG261=0),OR(AG261="",AH261=0)),"",IF(OR(AG261="",AG261=0),"DEFINIR PREÇO",IF(OR(AH261="",AH261=0),"DEFINIR FORNECEDOR",IF(OR(AG261&lt;&gt;"",AG261&lt;&gt;0),VLOOKUP(AH261,#REF!,2,FALSE)))))</f>
        <v>#REF!</v>
      </c>
      <c r="AJ261" s="217" t="s">
        <v>1977</v>
      </c>
      <c r="AK261" s="218">
        <v>44936</v>
      </c>
      <c r="AL261" s="220" t="str">
        <f t="shared" ca="1" si="114"/>
        <v>DESATUALIZADA</v>
      </c>
      <c r="AM261" s="229">
        <v>12178.81</v>
      </c>
      <c r="AN261" s="231">
        <v>1706</v>
      </c>
      <c r="AO261" s="206"/>
      <c r="AP261" s="217" t="s">
        <v>1977</v>
      </c>
      <c r="AQ261" s="218">
        <v>44936</v>
      </c>
      <c r="AR261" s="220" t="str">
        <f t="shared" ca="1" si="115"/>
        <v>DESATUALIZADA</v>
      </c>
      <c r="AS261" s="229"/>
      <c r="AT261" s="231"/>
      <c r="AU261" s="191"/>
      <c r="AV261" s="217"/>
      <c r="AW261" s="218"/>
      <c r="AX261" s="220" t="str">
        <f t="shared" ca="1" si="116"/>
        <v/>
      </c>
      <c r="AY261" s="195"/>
      <c r="AZ261" s="196"/>
      <c r="BA261" s="209" t="str">
        <f>IF(AND(OR(AY261="",AY261=0),OR(AY261="",AZ261=0)),"",IF(OR(AY261="",AY261=0),"DEFINIR PREÇO",IF(OR(AZ261="",AZ261=0),"DEFINIR FORNECEDOR",IF(OR(AY261&lt;&gt;"",AY261&lt;&gt;0),VLOOKUP(AZ261,#REF!,2,FALSE)))))</f>
        <v/>
      </c>
      <c r="BB261" s="201"/>
      <c r="BC261" s="199"/>
      <c r="BD261" s="220" t="str">
        <f t="shared" ca="1" si="117"/>
        <v/>
      </c>
      <c r="BE261" s="195"/>
      <c r="BF261" s="196"/>
      <c r="BG261" s="194"/>
      <c r="BH261" s="201"/>
      <c r="BI261" s="199"/>
      <c r="BJ261" s="197"/>
    </row>
    <row r="262" spans="1:62" ht="30" x14ac:dyDescent="0.25">
      <c r="A262" s="44" t="s">
        <v>405</v>
      </c>
      <c r="B262" s="58" t="s">
        <v>1403</v>
      </c>
      <c r="C262" s="45"/>
      <c r="D262" s="55" t="s">
        <v>1404</v>
      </c>
      <c r="E262" s="45" t="s">
        <v>23</v>
      </c>
      <c r="F262" s="158" t="str">
        <f>J262</f>
        <v>DEFINIR CRITÉRIO</v>
      </c>
      <c r="G262" s="159" t="str">
        <f>J262</f>
        <v>DEFINIR CRITÉRIO</v>
      </c>
      <c r="H262" s="240" t="s">
        <v>2000</v>
      </c>
      <c r="I262" s="240" t="s">
        <v>2001</v>
      </c>
      <c r="J262" s="242" t="str">
        <f>IFERROR(IF(N262&lt;&gt;"",M262,IF(I262 = PARÂMETROS!$B$5,Q262, IF(I262 = PARÂMETROS!$B$6,R262,IF(I262 = PARÂMETROS!$B$7,S262,IF(I262 = PARÂMETROS!$B$8, T262,"DEFINIR CRITÉRIO"))))),"SEM PREÇO")</f>
        <v>DEFINIR CRITÉRIO</v>
      </c>
      <c r="K262" s="241" t="str">
        <f t="shared" si="118"/>
        <v/>
      </c>
      <c r="L262" s="238" t="str">
        <f t="shared" si="119"/>
        <v/>
      </c>
      <c r="M262" s="163"/>
      <c r="N262" s="52"/>
      <c r="O262" s="53"/>
      <c r="P262" s="235">
        <f t="shared" si="120"/>
        <v>51.65</v>
      </c>
      <c r="Q262" s="236">
        <f t="shared" si="121"/>
        <v>0</v>
      </c>
      <c r="R262" s="236">
        <f t="shared" si="122"/>
        <v>0</v>
      </c>
      <c r="S262" s="236">
        <f t="shared" si="123"/>
        <v>0</v>
      </c>
      <c r="T262" s="236">
        <f t="shared" si="124"/>
        <v>0</v>
      </c>
      <c r="U262" s="237" t="e">
        <f>IF(AA262 = "", "", IF(OR($H262 = PARÂMETROS!$E$5, $H262 = ""), AA262, IF(OR(AA262 &lt; (1-VLOOKUP($H262,PARÂMETROS!$E:$F,2,FALSE))*$P262, AA262 &gt; (1+VLOOKUP($H262,PARÂMETROS!$E:$F,2,FALSE))*$P262),"",AA262)))</f>
        <v>#N/A</v>
      </c>
      <c r="V262" s="237" t="e">
        <f>IF(AG262 = "", "", IF(OR($H262 = PARÂMETROS!$E$5, $H262 = ""), AG262, IF(OR(AG262 &lt; (1-VLOOKUP($H262,PARÂMETROS!$E:$F,2,FALSE))*$P267, AG262 &gt; (1+VLOOKUP($H262,PARÂMETROS!$E:$F,2,FALSE))*$P262),"",AG262)))</f>
        <v>#N/A</v>
      </c>
      <c r="W262" s="237" t="e">
        <f>IF(AM262 = "", "", IF(OR($H262 = PARÂMETROS!$E$5, $H262 = ""), AM262, IF(OR(AM262 &lt; (1-VLOOKUP($H262,PARÂMETROS!$E:$F,2,FALSE))*$P262, AM262 &gt; (1+VLOOKUP($H262,PARÂMETROS!$E:$F,2,FALSE))*$P262),"",AM262)))</f>
        <v>#N/A</v>
      </c>
      <c r="X262" s="237" t="str">
        <f>IF(AS262 = "", "", IF(OR($H262 = PARÂMETROS!$E$5, $H262 = ""), AS262, IF(OR(AS262 &lt; (1-VLOOKUP($H262,PARÂMETROS!$E:$F,2,FALSE))*$P262, AS262 &gt; (1+VLOOKUP($H262,PARÂMETROS!$E:$F,2,FALSE))*$P262),"",AS262)))</f>
        <v/>
      </c>
      <c r="Y262" s="237" t="str">
        <f>IF(AY262 = "", "", IF(OR($H262 = PARÂMETROS!$E$5, $H262 = ""), AY262, IF(OR(AY262 &lt; (1-VLOOKUP($H262,PARÂMETROS!$E:$F,2,FALSE))*$P262, AY262 &gt; (1+VLOOKUP($H262,PARÂMETROS!$E:$F,2,FALSE))*$P262),"",AY262)))</f>
        <v/>
      </c>
      <c r="Z262" s="237" t="str">
        <f>IF(BE262 = "", "", IF(OR($H262 = PARÂMETROS!$E$5, $H262 = ""), BE262, IF(OR(BE262 &lt; (1-VLOOKUP($H262,PARÂMETROS!$E:$F,2,FALSE))*$P262, BE262 &gt; (1+VLOOKUP($H262,PARÂMETROS!$E:$F,2,FALSE))*$P262),"",BE262)))</f>
        <v/>
      </c>
      <c r="AA262" s="207">
        <v>64.849999999999994</v>
      </c>
      <c r="AB262" s="208">
        <v>1666</v>
      </c>
      <c r="AC262" s="206" t="e">
        <f>IF(AND(OR(AA262="",AA262=0),OR(AA262="",AB262=0)),"",IF(OR(AA262="",AA262=0),"DEFINIR PREÇO",IF(OR(AB262="",AB262=0),"DEFINIR FORNECEDOR",IF(OR(AA262&lt;&gt;"",AA262&lt;&gt;0),VLOOKUP(AB262,#REF!,2,FALSE)))))</f>
        <v>#REF!</v>
      </c>
      <c r="AD262" s="217" t="s">
        <v>1977</v>
      </c>
      <c r="AE262" s="218">
        <v>44922</v>
      </c>
      <c r="AF262" s="220" t="str">
        <f t="shared" ca="1" si="113"/>
        <v>DESATUALIZADA</v>
      </c>
      <c r="AG262" s="229">
        <v>49.04</v>
      </c>
      <c r="AH262" s="231">
        <v>654</v>
      </c>
      <c r="AI262" s="206" t="e">
        <f>IF(AND(OR(AG262="",AG262=0),OR(AG262="",AH262=0)),"",IF(OR(AG262="",AG262=0),"DEFINIR PREÇO",IF(OR(AH262="",AH262=0),"DEFINIR FORNECEDOR",IF(OR(AG262&lt;&gt;"",AG262&lt;&gt;0),VLOOKUP(AH262,#REF!,2,FALSE)))))</f>
        <v>#REF!</v>
      </c>
      <c r="AJ262" s="217" t="s">
        <v>1977</v>
      </c>
      <c r="AK262" s="218">
        <v>44922</v>
      </c>
      <c r="AL262" s="220" t="str">
        <f t="shared" ca="1" si="114"/>
        <v>DESATUALIZADA</v>
      </c>
      <c r="AM262" s="229">
        <v>41.06</v>
      </c>
      <c r="AN262" s="231">
        <v>866</v>
      </c>
      <c r="AO262" s="206" t="e">
        <f>IF(AND(OR(AM262="",AM262=0),OR(AM262="",AN262=0)),"",IF(OR(AM262="",AM262=0),"DEFINIR PREÇO",IF(OR(AN262="",AN262=0),"DEFINIR FORNECEDOR",IF(OR(AM262&lt;&gt;"",AM262&lt;&gt;0),VLOOKUP(AN262,#REF!,2,FALSE)))))</f>
        <v>#REF!</v>
      </c>
      <c r="AP262" s="217" t="s">
        <v>1977</v>
      </c>
      <c r="AQ262" s="218">
        <v>44922</v>
      </c>
      <c r="AR262" s="220" t="str">
        <f t="shared" ca="1" si="115"/>
        <v>DESATUALIZADA</v>
      </c>
      <c r="AS262" s="229"/>
      <c r="AT262" s="231"/>
      <c r="AU262" s="191" t="str">
        <f>IF(AND(OR(AS262="",AS262=0),OR(AS262="",AT262=0)),"",IF(OR(AS262="",AS262=0),"DEFINIR PREÇO",IF(OR(AT262="",AT262=0),"DEFINIR FORNECEDOR",IF(OR(AS262&lt;&gt;"",AS262&lt;&gt;0),VLOOKUP(AT262,#REF!,2,FALSE)))))</f>
        <v/>
      </c>
      <c r="AV262" s="217"/>
      <c r="AW262" s="218"/>
      <c r="AX262" s="220" t="str">
        <f t="shared" ca="1" si="116"/>
        <v/>
      </c>
      <c r="AY262" s="195"/>
      <c r="AZ262" s="196"/>
      <c r="BA262" s="209" t="str">
        <f>IF(AND(OR(AY262="",AY262=0),OR(AY262="",AZ262=0)),"",IF(OR(AY262="",AY262=0),"DEFINIR PREÇO",IF(OR(AZ262="",AZ262=0),"DEFINIR FORNECEDOR",IF(OR(AY262&lt;&gt;"",AY262&lt;&gt;0),VLOOKUP(AZ262,#REF!,2,FALSE)))))</f>
        <v/>
      </c>
      <c r="BB262" s="201"/>
      <c r="BC262" s="199"/>
      <c r="BD262" s="220" t="str">
        <f t="shared" ca="1" si="117"/>
        <v/>
      </c>
      <c r="BE262" s="195"/>
      <c r="BF262" s="196"/>
      <c r="BG262" s="194"/>
      <c r="BH262" s="201"/>
      <c r="BI262" s="199"/>
      <c r="BJ262" s="197"/>
    </row>
    <row r="263" spans="1:62" ht="30" x14ac:dyDescent="0.25">
      <c r="A263" s="44" t="s">
        <v>405</v>
      </c>
      <c r="B263" s="58" t="s">
        <v>1405</v>
      </c>
      <c r="C263" s="45"/>
      <c r="D263" s="55" t="s">
        <v>1406</v>
      </c>
      <c r="E263" s="45" t="s">
        <v>23</v>
      </c>
      <c r="F263" s="158" t="str">
        <f>J263</f>
        <v>DEFINIR CRITÉRIO</v>
      </c>
      <c r="G263" s="159" t="str">
        <f>J263</f>
        <v>DEFINIR CRITÉRIO</v>
      </c>
      <c r="H263" s="240" t="s">
        <v>2000</v>
      </c>
      <c r="I263" s="240" t="s">
        <v>2001</v>
      </c>
      <c r="J263" s="242" t="str">
        <f>IFERROR(IF(N263&lt;&gt;"",M263,IF(I263 = PARÂMETROS!$B$5,Q263, IF(I263 = PARÂMETROS!$B$6,R263,IF(I263 = PARÂMETROS!$B$7,S263,IF(I263 = PARÂMETROS!$B$8, T263,"DEFINIR CRITÉRIO"))))),"SEM PREÇO")</f>
        <v>DEFINIR CRITÉRIO</v>
      </c>
      <c r="K263" s="241" t="str">
        <f t="shared" si="118"/>
        <v/>
      </c>
      <c r="L263" s="238" t="str">
        <f t="shared" si="119"/>
        <v/>
      </c>
      <c r="M263" s="163"/>
      <c r="N263" s="52"/>
      <c r="O263" s="53"/>
      <c r="P263" s="235">
        <f t="shared" si="120"/>
        <v>40.063333333333333</v>
      </c>
      <c r="Q263" s="236">
        <f t="shared" si="121"/>
        <v>0</v>
      </c>
      <c r="R263" s="236">
        <f t="shared" si="122"/>
        <v>0</v>
      </c>
      <c r="S263" s="236">
        <f t="shared" si="123"/>
        <v>0</v>
      </c>
      <c r="T263" s="236">
        <f t="shared" si="124"/>
        <v>0</v>
      </c>
      <c r="U263" s="237" t="e">
        <f>IF(AA263 = "", "", IF(OR($H263 = PARÂMETROS!$E$5, $H263 = ""), AA263, IF(OR(AA263 &lt; (1-VLOOKUP($H263,PARÂMETROS!$E:$F,2,FALSE))*$P263, AA263 &gt; (1+VLOOKUP($H263,PARÂMETROS!$E:$F,2,FALSE))*$P263),"",AA263)))</f>
        <v>#N/A</v>
      </c>
      <c r="V263" s="237" t="e">
        <f>IF(AG263 = "", "", IF(OR($H263 = PARÂMETROS!$E$5, $H263 = ""), AG263, IF(OR(AG263 &lt; (1-VLOOKUP($H263,PARÂMETROS!$E:$F,2,FALSE))*$P268, AG263 &gt; (1+VLOOKUP($H263,PARÂMETROS!$E:$F,2,FALSE))*$P263),"",AG263)))</f>
        <v>#N/A</v>
      </c>
      <c r="W263" s="237" t="e">
        <f>IF(AM263 = "", "", IF(OR($H263 = PARÂMETROS!$E$5, $H263 = ""), AM263, IF(OR(AM263 &lt; (1-VLOOKUP($H263,PARÂMETROS!$E:$F,2,FALSE))*$P263, AM263 &gt; (1+VLOOKUP($H263,PARÂMETROS!$E:$F,2,FALSE))*$P263),"",AM263)))</f>
        <v>#N/A</v>
      </c>
      <c r="X263" s="237" t="str">
        <f>IF(AS263 = "", "", IF(OR($H263 = PARÂMETROS!$E$5, $H263 = ""), AS263, IF(OR(AS263 &lt; (1-VLOOKUP($H263,PARÂMETROS!$E:$F,2,FALSE))*$P263, AS263 &gt; (1+VLOOKUP($H263,PARÂMETROS!$E:$F,2,FALSE))*$P263),"",AS263)))</f>
        <v/>
      </c>
      <c r="Y263" s="237" t="str">
        <f>IF(AY263 = "", "", IF(OR($H263 = PARÂMETROS!$E$5, $H263 = ""), AY263, IF(OR(AY263 &lt; (1-VLOOKUP($H263,PARÂMETROS!$E:$F,2,FALSE))*$P263, AY263 &gt; (1+VLOOKUP($H263,PARÂMETROS!$E:$F,2,FALSE))*$P263),"",AY263)))</f>
        <v/>
      </c>
      <c r="Z263" s="237" t="str">
        <f>IF(BE263 = "", "", IF(OR($H263 = PARÂMETROS!$E$5, $H263 = ""), BE263, IF(OR(BE263 &lt; (1-VLOOKUP($H263,PARÂMETROS!$E:$F,2,FALSE))*$P263, BE263 &gt; (1+VLOOKUP($H263,PARÂMETROS!$E:$F,2,FALSE))*$P263),"",BE263)))</f>
        <v/>
      </c>
      <c r="AA263" s="207">
        <v>46.79</v>
      </c>
      <c r="AB263" s="208">
        <v>1666</v>
      </c>
      <c r="AC263" s="206" t="e">
        <f>IF(AND(OR(AA263="",AA263=0),OR(AA263="",AB263=0)),"",IF(OR(AA263="",AA263=0),"DEFINIR PREÇO",IF(OR(AB263="",AB263=0),"DEFINIR FORNECEDOR",IF(OR(AA263&lt;&gt;"",AA263&lt;&gt;0),VLOOKUP(AB263,#REF!,2,FALSE)))))</f>
        <v>#REF!</v>
      </c>
      <c r="AD263" s="217" t="s">
        <v>1977</v>
      </c>
      <c r="AE263" s="218">
        <v>44922</v>
      </c>
      <c r="AF263" s="220" t="str">
        <f t="shared" ca="1" si="113"/>
        <v>DESATUALIZADA</v>
      </c>
      <c r="AG263" s="229">
        <v>39.36</v>
      </c>
      <c r="AH263" s="231">
        <v>654</v>
      </c>
      <c r="AI263" s="206" t="e">
        <f>IF(AND(OR(AG263="",AG263=0),OR(AG263="",AH263=0)),"",IF(OR(AG263="",AG263=0),"DEFINIR PREÇO",IF(OR(AH263="",AH263=0),"DEFINIR FORNECEDOR",IF(OR(AG263&lt;&gt;"",AG263&lt;&gt;0),VLOOKUP(AH263,#REF!,2,FALSE)))))</f>
        <v>#REF!</v>
      </c>
      <c r="AJ263" s="217" t="s">
        <v>1977</v>
      </c>
      <c r="AK263" s="218">
        <v>44922</v>
      </c>
      <c r="AL263" s="220" t="str">
        <f t="shared" ca="1" si="114"/>
        <v>DESATUALIZADA</v>
      </c>
      <c r="AM263" s="229">
        <v>34.04</v>
      </c>
      <c r="AN263" s="231">
        <v>866</v>
      </c>
      <c r="AO263" s="206" t="e">
        <f>IF(AND(OR(AM263="",AM263=0),OR(AM263="",AN263=0)),"",IF(OR(AM263="",AM263=0),"DEFINIR PREÇO",IF(OR(AN263="",AN263=0),"DEFINIR FORNECEDOR",IF(OR(AM263&lt;&gt;"",AM263&lt;&gt;0),VLOOKUP(AN263,#REF!,2,FALSE)))))</f>
        <v>#REF!</v>
      </c>
      <c r="AP263" s="217" t="s">
        <v>1977</v>
      </c>
      <c r="AQ263" s="218">
        <v>44922</v>
      </c>
      <c r="AR263" s="220" t="str">
        <f t="shared" ca="1" si="115"/>
        <v>DESATUALIZADA</v>
      </c>
      <c r="AS263" s="229"/>
      <c r="AT263" s="231"/>
      <c r="AU263" s="191"/>
      <c r="AV263" s="217"/>
      <c r="AW263" s="218"/>
      <c r="AX263" s="220" t="str">
        <f t="shared" ca="1" si="116"/>
        <v/>
      </c>
      <c r="AY263" s="195"/>
      <c r="AZ263" s="196"/>
      <c r="BA263" s="209" t="str">
        <f>IF(AND(OR(AY263="",AY263=0),OR(AY263="",AZ263=0)),"",IF(OR(AY263="",AY263=0),"DEFINIR PREÇO",IF(OR(AZ263="",AZ263=0),"DEFINIR FORNECEDOR",IF(OR(AY263&lt;&gt;"",AY263&lt;&gt;0),VLOOKUP(AZ263,#REF!,2,FALSE)))))</f>
        <v/>
      </c>
      <c r="BB263" s="201"/>
      <c r="BC263" s="199"/>
      <c r="BD263" s="220" t="str">
        <f t="shared" ca="1" si="117"/>
        <v/>
      </c>
      <c r="BE263" s="195"/>
      <c r="BF263" s="196"/>
      <c r="BG263" s="194"/>
      <c r="BH263" s="201"/>
      <c r="BI263" s="199"/>
      <c r="BJ263" s="197"/>
    </row>
    <row r="264" spans="1:62" ht="21.75" customHeight="1" x14ac:dyDescent="0.25">
      <c r="A264" s="44" t="s">
        <v>405</v>
      </c>
      <c r="B264" s="58" t="s">
        <v>1407</v>
      </c>
      <c r="C264" s="45"/>
      <c r="D264" s="55" t="s">
        <v>1409</v>
      </c>
      <c r="E264" s="45" t="s">
        <v>26</v>
      </c>
      <c r="F264" s="158" t="e">
        <f>VLOOKUP(B264,#REF!,7,FALSE)</f>
        <v>#REF!</v>
      </c>
      <c r="G264" s="159" t="e">
        <f>VLOOKUP(B264,#REF!,9,FALSE)</f>
        <v>#REF!</v>
      </c>
      <c r="H264" s="240" t="s">
        <v>2000</v>
      </c>
      <c r="I264" s="240" t="s">
        <v>2001</v>
      </c>
      <c r="J264" s="242" t="str">
        <f>IFERROR(IF(N264&lt;&gt;"",M264,IF(I264 = PARÂMETROS!$B$5,Q264, IF(I264 = PARÂMETROS!$B$6,R264,IF(I264 = PARÂMETROS!$B$7,S264,IF(I264 = PARÂMETROS!$B$8, T264,"DEFINIR CRITÉRIO"))))),"SEM PREÇO")</f>
        <v>SEM PREÇO</v>
      </c>
      <c r="K264" s="241">
        <f t="shared" si="118"/>
        <v>0</v>
      </c>
      <c r="L264" s="238" t="str">
        <f t="shared" si="119"/>
        <v/>
      </c>
      <c r="M264" s="180" t="e">
        <f>F264</f>
        <v>#REF!</v>
      </c>
      <c r="N264" s="52" t="s">
        <v>1408</v>
      </c>
      <c r="O264" s="53" t="s">
        <v>1264</v>
      </c>
      <c r="P264" s="235">
        <f t="shared" si="120"/>
        <v>0</v>
      </c>
      <c r="Q264" s="236">
        <f t="shared" si="121"/>
        <v>0</v>
      </c>
      <c r="R264" s="236">
        <f t="shared" si="122"/>
        <v>0</v>
      </c>
      <c r="S264" s="236">
        <f t="shared" si="123"/>
        <v>0</v>
      </c>
      <c r="T264" s="236">
        <f t="shared" si="124"/>
        <v>0</v>
      </c>
      <c r="U264" s="237" t="str">
        <f>IF(AA264 = "", "", IF(OR($H264 = PARÂMETROS!$E$5, $H264 = ""), AA264, IF(OR(AA264 &lt; (1-VLOOKUP($H264,PARÂMETROS!$E:$F,2,FALSE))*$P264, AA264 &gt; (1+VLOOKUP($H264,PARÂMETROS!$E:$F,2,FALSE))*$P264),"",AA264)))</f>
        <v/>
      </c>
      <c r="V264" s="237" t="str">
        <f>IF(AG264 = "", "", IF(OR($H264 = PARÂMETROS!$E$5, $H264 = ""), AG264, IF(OR(AG264 &lt; (1-VLOOKUP($H264,PARÂMETROS!$E:$F,2,FALSE))*$P269, AG264 &gt; (1+VLOOKUP($H264,PARÂMETROS!$E:$F,2,FALSE))*$P264),"",AG264)))</f>
        <v/>
      </c>
      <c r="W264" s="237" t="str">
        <f>IF(AM264 = "", "", IF(OR($H264 = PARÂMETROS!$E$5, $H264 = ""), AM264, IF(OR(AM264 &lt; (1-VLOOKUP($H264,PARÂMETROS!$E:$F,2,FALSE))*$P264, AM264 &gt; (1+VLOOKUP($H264,PARÂMETROS!$E:$F,2,FALSE))*$P264),"",AM264)))</f>
        <v/>
      </c>
      <c r="X264" s="237" t="str">
        <f>IF(AS264 = "", "", IF(OR($H264 = PARÂMETROS!$E$5, $H264 = ""), AS264, IF(OR(AS264 &lt; (1-VLOOKUP($H264,PARÂMETROS!$E:$F,2,FALSE))*$P264, AS264 &gt; (1+VLOOKUP($H264,PARÂMETROS!$E:$F,2,FALSE))*$P264),"",AS264)))</f>
        <v/>
      </c>
      <c r="Y264" s="237" t="str">
        <f>IF(AY264 = "", "", IF(OR($H264 = PARÂMETROS!$E$5, $H264 = ""), AY264, IF(OR(AY264 &lt; (1-VLOOKUP($H264,PARÂMETROS!$E:$F,2,FALSE))*$P264, AY264 &gt; (1+VLOOKUP($H264,PARÂMETROS!$E:$F,2,FALSE))*$P264),"",AY264)))</f>
        <v/>
      </c>
      <c r="Z264" s="237" t="str">
        <f>IF(BE264 = "", "", IF(OR($H264 = PARÂMETROS!$E$5, $H264 = ""), BE264, IF(OR(BE264 &lt; (1-VLOOKUP($H264,PARÂMETROS!$E:$F,2,FALSE))*$P264, BE264 &gt; (1+VLOOKUP($H264,PARÂMETROS!$E:$F,2,FALSE))*$P264),"",BE264)))</f>
        <v/>
      </c>
      <c r="AA264" s="207"/>
      <c r="AB264" s="208"/>
      <c r="AC264" s="206"/>
      <c r="AD264" s="217"/>
      <c r="AE264" s="218"/>
      <c r="AF264" s="220" t="str">
        <f t="shared" ca="1" si="113"/>
        <v/>
      </c>
      <c r="AG264" s="229"/>
      <c r="AH264" s="231"/>
      <c r="AI264" s="206"/>
      <c r="AJ264" s="217"/>
      <c r="AK264" s="218"/>
      <c r="AL264" s="220" t="str">
        <f t="shared" ca="1" si="114"/>
        <v/>
      </c>
      <c r="AM264" s="229"/>
      <c r="AN264" s="231"/>
      <c r="AO264" s="206"/>
      <c r="AP264" s="217"/>
      <c r="AQ264" s="218"/>
      <c r="AR264" s="220" t="str">
        <f t="shared" ca="1" si="115"/>
        <v/>
      </c>
      <c r="AS264" s="229"/>
      <c r="AT264" s="231"/>
      <c r="AU264" s="191"/>
      <c r="AV264" s="217"/>
      <c r="AW264" s="218"/>
      <c r="AX264" s="220" t="str">
        <f t="shared" ca="1" si="116"/>
        <v/>
      </c>
      <c r="AY264" s="195"/>
      <c r="AZ264" s="196"/>
      <c r="BA264" s="209" t="str">
        <f>IF(AND(OR(AY264="",AY264=0),OR(AY264="",AZ264=0)),"",IF(OR(AY264="",AY264=0),"DEFINIR PREÇO",IF(OR(AZ264="",AZ264=0),"DEFINIR FORNECEDOR",IF(OR(AY264&lt;&gt;"",AY264&lt;&gt;0),VLOOKUP(AZ264,#REF!,2,FALSE)))))</f>
        <v/>
      </c>
      <c r="BB264" s="201"/>
      <c r="BC264" s="199"/>
      <c r="BD264" s="220" t="str">
        <f t="shared" ca="1" si="117"/>
        <v/>
      </c>
      <c r="BE264" s="195"/>
      <c r="BF264" s="196"/>
      <c r="BG264" s="194"/>
      <c r="BH264" s="201"/>
      <c r="BI264" s="199"/>
      <c r="BJ264" s="197"/>
    </row>
    <row r="265" spans="1:62" ht="21.75" customHeight="1" x14ac:dyDescent="0.25">
      <c r="A265" s="44" t="s">
        <v>405</v>
      </c>
      <c r="B265" s="58" t="s">
        <v>1416</v>
      </c>
      <c r="C265" s="45"/>
      <c r="D265" s="55" t="s">
        <v>1418</v>
      </c>
      <c r="E265" s="45" t="s">
        <v>21</v>
      </c>
      <c r="F265" s="158" t="e">
        <f>VLOOKUP(B265,#REF!,7,FALSE)</f>
        <v>#REF!</v>
      </c>
      <c r="G265" s="159" t="e">
        <f>VLOOKUP(B265,#REF!,9,FALSE)</f>
        <v>#REF!</v>
      </c>
      <c r="H265" s="240" t="s">
        <v>2000</v>
      </c>
      <c r="I265" s="240" t="s">
        <v>2001</v>
      </c>
      <c r="J265" s="242" t="str">
        <f>IFERROR(IF(N265&lt;&gt;"",M265,IF(I265 = PARÂMETROS!$B$5,Q265, IF(I265 = PARÂMETROS!$B$6,R265,IF(I265 = PARÂMETROS!$B$7,S265,IF(I265 = PARÂMETROS!$B$8, T265,"DEFINIR CRITÉRIO"))))),"SEM PREÇO")</f>
        <v>SEM PREÇO</v>
      </c>
      <c r="K265" s="241">
        <f t="shared" si="118"/>
        <v>0</v>
      </c>
      <c r="L265" s="238" t="str">
        <f t="shared" si="119"/>
        <v/>
      </c>
      <c r="M265" s="180" t="e">
        <f>F265</f>
        <v>#REF!</v>
      </c>
      <c r="N265" s="52" t="s">
        <v>1417</v>
      </c>
      <c r="O265" s="53" t="s">
        <v>1264</v>
      </c>
      <c r="P265" s="235">
        <f t="shared" si="120"/>
        <v>0</v>
      </c>
      <c r="Q265" s="236">
        <f t="shared" si="121"/>
        <v>0</v>
      </c>
      <c r="R265" s="236">
        <f t="shared" si="122"/>
        <v>0</v>
      </c>
      <c r="S265" s="236">
        <f t="shared" si="123"/>
        <v>0</v>
      </c>
      <c r="T265" s="236">
        <f t="shared" si="124"/>
        <v>0</v>
      </c>
      <c r="U265" s="237" t="str">
        <f>IF(AA265 = "", "", IF(OR($H265 = PARÂMETROS!$E$5, $H265 = ""), AA265, IF(OR(AA265 &lt; (1-VLOOKUP($H265,PARÂMETROS!$E:$F,2,FALSE))*$P265, AA265 &gt; (1+VLOOKUP($H265,PARÂMETROS!$E:$F,2,FALSE))*$P265),"",AA265)))</f>
        <v/>
      </c>
      <c r="V265" s="237" t="str">
        <f>IF(AG265 = "", "", IF(OR($H265 = PARÂMETROS!$E$5, $H265 = ""), AG265, IF(OR(AG265 &lt; (1-VLOOKUP($H265,PARÂMETROS!$E:$F,2,FALSE))*$P270, AG265 &gt; (1+VLOOKUP($H265,PARÂMETROS!$E:$F,2,FALSE))*$P265),"",AG265)))</f>
        <v/>
      </c>
      <c r="W265" s="237" t="str">
        <f>IF(AM265 = "", "", IF(OR($H265 = PARÂMETROS!$E$5, $H265 = ""), AM265, IF(OR(AM265 &lt; (1-VLOOKUP($H265,PARÂMETROS!$E:$F,2,FALSE))*$P265, AM265 &gt; (1+VLOOKUP($H265,PARÂMETROS!$E:$F,2,FALSE))*$P265),"",AM265)))</f>
        <v/>
      </c>
      <c r="X265" s="237" t="str">
        <f>IF(AS265 = "", "", IF(OR($H265 = PARÂMETROS!$E$5, $H265 = ""), AS265, IF(OR(AS265 &lt; (1-VLOOKUP($H265,PARÂMETROS!$E:$F,2,FALSE))*$P265, AS265 &gt; (1+VLOOKUP($H265,PARÂMETROS!$E:$F,2,FALSE))*$P265),"",AS265)))</f>
        <v/>
      </c>
      <c r="Y265" s="237" t="str">
        <f>IF(AY265 = "", "", IF(OR($H265 = PARÂMETROS!$E$5, $H265 = ""), AY265, IF(OR(AY265 &lt; (1-VLOOKUP($H265,PARÂMETROS!$E:$F,2,FALSE))*$P265, AY265 &gt; (1+VLOOKUP($H265,PARÂMETROS!$E:$F,2,FALSE))*$P265),"",AY265)))</f>
        <v/>
      </c>
      <c r="Z265" s="237" t="str">
        <f>IF(BE265 = "", "", IF(OR($H265 = PARÂMETROS!$E$5, $H265 = ""), BE265, IF(OR(BE265 &lt; (1-VLOOKUP($H265,PARÂMETROS!$E:$F,2,FALSE))*$P265, BE265 &gt; (1+VLOOKUP($H265,PARÂMETROS!$E:$F,2,FALSE))*$P265),"",BE265)))</f>
        <v/>
      </c>
      <c r="AA265" s="207"/>
      <c r="AB265" s="208"/>
      <c r="AC265" s="206"/>
      <c r="AD265" s="217"/>
      <c r="AE265" s="218"/>
      <c r="AF265" s="220" t="str">
        <f t="shared" ca="1" si="113"/>
        <v/>
      </c>
      <c r="AG265" s="229"/>
      <c r="AH265" s="231"/>
      <c r="AI265" s="206"/>
      <c r="AJ265" s="217"/>
      <c r="AK265" s="218"/>
      <c r="AL265" s="220" t="str">
        <f t="shared" ca="1" si="114"/>
        <v/>
      </c>
      <c r="AM265" s="229"/>
      <c r="AN265" s="231"/>
      <c r="AO265" s="206"/>
      <c r="AP265" s="217"/>
      <c r="AQ265" s="218"/>
      <c r="AR265" s="220"/>
      <c r="AS265" s="229"/>
      <c r="AT265" s="231"/>
      <c r="AU265" s="191"/>
      <c r="AV265" s="217"/>
      <c r="AW265" s="218"/>
      <c r="AX265" s="220"/>
      <c r="AY265" s="195"/>
      <c r="AZ265" s="196"/>
      <c r="BA265" s="209" t="str">
        <f>IF(AND(OR(AY265="",AY265=0),OR(AY265="",AZ265=0)),"",IF(OR(AY265="",AY265=0),"DEFINIR PREÇO",IF(OR(AZ265="",AZ265=0),"DEFINIR FORNECEDOR",IF(OR(AY265&lt;&gt;"",AY265&lt;&gt;0),VLOOKUP(AZ265,#REF!,2,FALSE)))))</f>
        <v/>
      </c>
      <c r="BB265" s="201"/>
      <c r="BC265" s="199"/>
      <c r="BD265" s="220" t="str">
        <f t="shared" ca="1" si="117"/>
        <v/>
      </c>
      <c r="BE265" s="195"/>
      <c r="BF265" s="196"/>
      <c r="BG265" s="194"/>
      <c r="BH265" s="201"/>
      <c r="BI265" s="199"/>
      <c r="BJ265" s="197"/>
    </row>
    <row r="266" spans="1:62" ht="21.75" customHeight="1" x14ac:dyDescent="0.25">
      <c r="A266" s="44" t="s">
        <v>405</v>
      </c>
      <c r="B266" s="58" t="s">
        <v>1423</v>
      </c>
      <c r="C266" s="45"/>
      <c r="D266" s="55" t="s">
        <v>1420</v>
      </c>
      <c r="E266" s="45" t="s">
        <v>21</v>
      </c>
      <c r="F266" s="158" t="str">
        <f t="shared" ref="F266" si="125">J266</f>
        <v>SEM PREÇO</v>
      </c>
      <c r="G266" s="159" t="str">
        <f t="shared" ref="G266" si="126">J266</f>
        <v>SEM PREÇO</v>
      </c>
      <c r="H266" s="240" t="s">
        <v>2000</v>
      </c>
      <c r="I266" s="240" t="s">
        <v>2001</v>
      </c>
      <c r="J266" s="242" t="str">
        <f>IFERROR(IF(N266&lt;&gt;"",M266,IF(I266 = PARÂMETROS!$B$5,Q266, IF(I266 = PARÂMETROS!$B$6,R266,IF(I266 = PARÂMETROS!$B$7,S266,IF(I266 = PARÂMETROS!$B$8, T266,"DEFINIR CRITÉRIO"))))),"SEM PREÇO")</f>
        <v>SEM PREÇO</v>
      </c>
      <c r="K266" s="241">
        <f t="shared" si="118"/>
        <v>0</v>
      </c>
      <c r="L266" s="238" t="str">
        <f t="shared" si="119"/>
        <v/>
      </c>
      <c r="M266" s="163" t="e">
        <f>VLOOKUP(N266,#REF!,4,FALSE)</f>
        <v>#REF!</v>
      </c>
      <c r="N266" s="52" t="s">
        <v>1421</v>
      </c>
      <c r="O266" s="53" t="s">
        <v>1422</v>
      </c>
      <c r="P266" s="235">
        <f t="shared" si="120"/>
        <v>0</v>
      </c>
      <c r="Q266" s="236">
        <f t="shared" si="121"/>
        <v>0</v>
      </c>
      <c r="R266" s="236">
        <f t="shared" si="122"/>
        <v>0</v>
      </c>
      <c r="S266" s="236">
        <f t="shared" si="123"/>
        <v>0</v>
      </c>
      <c r="T266" s="236">
        <f t="shared" si="124"/>
        <v>0</v>
      </c>
      <c r="U266" s="237" t="str">
        <f>IF(AA266 = "", "", IF(OR($H266 = PARÂMETROS!$E$5, $H266 = ""), AA266, IF(OR(AA266 &lt; (1-VLOOKUP($H266,PARÂMETROS!$E:$F,2,FALSE))*$P266, AA266 &gt; (1+VLOOKUP($H266,PARÂMETROS!$E:$F,2,FALSE))*$P266),"",AA266)))</f>
        <v/>
      </c>
      <c r="V266" s="237" t="str">
        <f>IF(AG266 = "", "", IF(OR($H266 = PARÂMETROS!$E$5, $H266 = ""), AG266, IF(OR(AG266 &lt; (1-VLOOKUP($H266,PARÂMETROS!$E:$F,2,FALSE))*$P271, AG266 &gt; (1+VLOOKUP($H266,PARÂMETROS!$E:$F,2,FALSE))*$P266),"",AG266)))</f>
        <v/>
      </c>
      <c r="W266" s="237" t="str">
        <f>IF(AM266 = "", "", IF(OR($H266 = PARÂMETROS!$E$5, $H266 = ""), AM266, IF(OR(AM266 &lt; (1-VLOOKUP($H266,PARÂMETROS!$E:$F,2,FALSE))*$P266, AM266 &gt; (1+VLOOKUP($H266,PARÂMETROS!$E:$F,2,FALSE))*$P266),"",AM266)))</f>
        <v/>
      </c>
      <c r="X266" s="237" t="str">
        <f>IF(AS266 = "", "", IF(OR($H266 = PARÂMETROS!$E$5, $H266 = ""), AS266, IF(OR(AS266 &lt; (1-VLOOKUP($H266,PARÂMETROS!$E:$F,2,FALSE))*$P266, AS266 &gt; (1+VLOOKUP($H266,PARÂMETROS!$E:$F,2,FALSE))*$P266),"",AS266)))</f>
        <v/>
      </c>
      <c r="Y266" s="237" t="str">
        <f>IF(AY266 = "", "", IF(OR($H266 = PARÂMETROS!$E$5, $H266 = ""), AY266, IF(OR(AY266 &lt; (1-VLOOKUP($H266,PARÂMETROS!$E:$F,2,FALSE))*$P266, AY266 &gt; (1+VLOOKUP($H266,PARÂMETROS!$E:$F,2,FALSE))*$P266),"",AY266)))</f>
        <v/>
      </c>
      <c r="Z266" s="237" t="str">
        <f>IF(BE266 = "", "", IF(OR($H266 = PARÂMETROS!$E$5, $H266 = ""), BE266, IF(OR(BE266 &lt; (1-VLOOKUP($H266,PARÂMETROS!$E:$F,2,FALSE))*$P266, BE266 &gt; (1+VLOOKUP($H266,PARÂMETROS!$E:$F,2,FALSE))*$P266),"",BE266)))</f>
        <v/>
      </c>
      <c r="AA266" s="207"/>
      <c r="AB266" s="208"/>
      <c r="AC266" s="206"/>
      <c r="AD266" s="217"/>
      <c r="AE266" s="218"/>
      <c r="AF266" s="220" t="str">
        <f t="shared" ca="1" si="113"/>
        <v/>
      </c>
      <c r="AG266" s="229"/>
      <c r="AH266" s="231"/>
      <c r="AI266" s="206"/>
      <c r="AJ266" s="217"/>
      <c r="AK266" s="218"/>
      <c r="AL266" s="220" t="str">
        <f t="shared" ca="1" si="114"/>
        <v/>
      </c>
      <c r="AM266" s="229"/>
      <c r="AN266" s="231"/>
      <c r="AO266" s="206"/>
      <c r="AP266" s="217"/>
      <c r="AQ266" s="218"/>
      <c r="AR266" s="220"/>
      <c r="AS266" s="229"/>
      <c r="AT266" s="231"/>
      <c r="AU266" s="191"/>
      <c r="AV266" s="217"/>
      <c r="AW266" s="218"/>
      <c r="AX266" s="220"/>
      <c r="AY266" s="195"/>
      <c r="AZ266" s="196"/>
      <c r="BA266" s="209" t="str">
        <f>IF(AND(OR(AY266="",AY266=0),OR(AY266="",AZ266=0)),"",IF(OR(AY266="",AY266=0),"DEFINIR PREÇO",IF(OR(AZ266="",AZ266=0),"DEFINIR FORNECEDOR",IF(OR(AY266&lt;&gt;"",AY266&lt;&gt;0),VLOOKUP(AZ266,#REF!,2,FALSE)))))</f>
        <v/>
      </c>
      <c r="BB266" s="201"/>
      <c r="BC266" s="199"/>
      <c r="BD266" s="220" t="str">
        <f t="shared" ca="1" si="117"/>
        <v/>
      </c>
      <c r="BE266" s="195"/>
      <c r="BF266" s="196"/>
      <c r="BG266" s="194"/>
      <c r="BH266" s="201"/>
      <c r="BI266" s="199"/>
      <c r="BJ266" s="197"/>
    </row>
    <row r="267" spans="1:62" ht="21.75" customHeight="1" x14ac:dyDescent="0.25">
      <c r="A267" s="44" t="s">
        <v>405</v>
      </c>
      <c r="B267" s="58" t="s">
        <v>1426</v>
      </c>
      <c r="C267" s="45"/>
      <c r="D267" s="55" t="s">
        <v>1427</v>
      </c>
      <c r="E267" s="45" t="s">
        <v>21</v>
      </c>
      <c r="F267" s="158" t="e">
        <f>VLOOKUP(B267,#REF!,7,FALSE)</f>
        <v>#REF!</v>
      </c>
      <c r="G267" s="159" t="e">
        <f>VLOOKUP(B267,#REF!,9,FALSE)</f>
        <v>#REF!</v>
      </c>
      <c r="H267" s="240" t="s">
        <v>2000</v>
      </c>
      <c r="I267" s="240" t="s">
        <v>2001</v>
      </c>
      <c r="J267" s="242" t="str">
        <f>IFERROR(IF(N267&lt;&gt;"",M267,IF(I267 = PARÂMETROS!$B$5,Q267, IF(I267 = PARÂMETROS!$B$6,R267,IF(I267 = PARÂMETROS!$B$7,S267,IF(I267 = PARÂMETROS!$B$8, T267,"DEFINIR CRITÉRIO"))))),"SEM PREÇO")</f>
        <v>SEM PREÇO</v>
      </c>
      <c r="K267" s="241">
        <f t="shared" si="118"/>
        <v>0</v>
      </c>
      <c r="L267" s="238" t="str">
        <f t="shared" si="119"/>
        <v/>
      </c>
      <c r="M267" s="180" t="e">
        <f>F267</f>
        <v>#REF!</v>
      </c>
      <c r="N267" s="52" t="s">
        <v>1428</v>
      </c>
      <c r="O267" s="53" t="s">
        <v>1264</v>
      </c>
      <c r="P267" s="235">
        <f t="shared" si="120"/>
        <v>0</v>
      </c>
      <c r="Q267" s="236">
        <f t="shared" si="121"/>
        <v>0</v>
      </c>
      <c r="R267" s="236">
        <f t="shared" si="122"/>
        <v>0</v>
      </c>
      <c r="S267" s="236">
        <f t="shared" si="123"/>
        <v>0</v>
      </c>
      <c r="T267" s="236">
        <f t="shared" si="124"/>
        <v>0</v>
      </c>
      <c r="U267" s="237" t="str">
        <f>IF(AA267 = "", "", IF(OR($H267 = PARÂMETROS!$E$5, $H267 = ""), AA267, IF(OR(AA267 &lt; (1-VLOOKUP($H267,PARÂMETROS!$E:$F,2,FALSE))*$P267, AA267 &gt; (1+VLOOKUP($H267,PARÂMETROS!$E:$F,2,FALSE))*$P267),"",AA267)))</f>
        <v/>
      </c>
      <c r="V267" s="237" t="str">
        <f>IF(AG267 = "", "", IF(OR($H267 = PARÂMETROS!$E$5, $H267 = ""), AG267, IF(OR(AG267 &lt; (1-VLOOKUP($H267,PARÂMETROS!$E:$F,2,FALSE))*$P272, AG267 &gt; (1+VLOOKUP($H267,PARÂMETROS!$E:$F,2,FALSE))*$P267),"",AG267)))</f>
        <v/>
      </c>
      <c r="W267" s="237" t="str">
        <f>IF(AM267 = "", "", IF(OR($H267 = PARÂMETROS!$E$5, $H267 = ""), AM267, IF(OR(AM267 &lt; (1-VLOOKUP($H267,PARÂMETROS!$E:$F,2,FALSE))*$P267, AM267 &gt; (1+VLOOKUP($H267,PARÂMETROS!$E:$F,2,FALSE))*$P267),"",AM267)))</f>
        <v/>
      </c>
      <c r="X267" s="237" t="str">
        <f>IF(AS267 = "", "", IF(OR($H267 = PARÂMETROS!$E$5, $H267 = ""), AS267, IF(OR(AS267 &lt; (1-VLOOKUP($H267,PARÂMETROS!$E:$F,2,FALSE))*$P267, AS267 &gt; (1+VLOOKUP($H267,PARÂMETROS!$E:$F,2,FALSE))*$P267),"",AS267)))</f>
        <v/>
      </c>
      <c r="Y267" s="237" t="str">
        <f>IF(AY267 = "", "", IF(OR($H267 = PARÂMETROS!$E$5, $H267 = ""), AY267, IF(OR(AY267 &lt; (1-VLOOKUP($H267,PARÂMETROS!$E:$F,2,FALSE))*$P267, AY267 &gt; (1+VLOOKUP($H267,PARÂMETROS!$E:$F,2,FALSE))*$P267),"",AY267)))</f>
        <v/>
      </c>
      <c r="Z267" s="237" t="str">
        <f>IF(BE267 = "", "", IF(OR($H267 = PARÂMETROS!$E$5, $H267 = ""), BE267, IF(OR(BE267 &lt; (1-VLOOKUP($H267,PARÂMETROS!$E:$F,2,FALSE))*$P267, BE267 &gt; (1+VLOOKUP($H267,PARÂMETROS!$E:$F,2,FALSE))*$P267),"",BE267)))</f>
        <v/>
      </c>
      <c r="AA267" s="207"/>
      <c r="AB267" s="208"/>
      <c r="AC267" s="206"/>
      <c r="AD267" s="217"/>
      <c r="AE267" s="218"/>
      <c r="AF267" s="220" t="str">
        <f t="shared" ca="1" si="113"/>
        <v/>
      </c>
      <c r="AG267" s="229"/>
      <c r="AH267" s="231"/>
      <c r="AI267" s="206"/>
      <c r="AJ267" s="217"/>
      <c r="AK267" s="218"/>
      <c r="AL267" s="220"/>
      <c r="AM267" s="229"/>
      <c r="AN267" s="231"/>
      <c r="AO267" s="206"/>
      <c r="AP267" s="217"/>
      <c r="AQ267" s="218"/>
      <c r="AR267" s="220"/>
      <c r="AS267" s="229"/>
      <c r="AT267" s="231"/>
      <c r="AU267" s="191"/>
      <c r="AV267" s="217"/>
      <c r="AW267" s="218"/>
      <c r="AX267" s="220"/>
      <c r="AY267" s="195"/>
      <c r="AZ267" s="196"/>
      <c r="BA267" s="209" t="str">
        <f>IF(AND(OR(AY267="",AY267=0),OR(AY267="",AZ267=0)),"",IF(OR(AY267="",AY267=0),"DEFINIR PREÇO",IF(OR(AZ267="",AZ267=0),"DEFINIR FORNECEDOR",IF(OR(AY267&lt;&gt;"",AY267&lt;&gt;0),VLOOKUP(AZ267,#REF!,2,FALSE)))))</f>
        <v/>
      </c>
      <c r="BB267" s="201"/>
      <c r="BC267" s="199"/>
      <c r="BD267" s="220" t="str">
        <f t="shared" ca="1" si="117"/>
        <v/>
      </c>
      <c r="BE267" s="195"/>
      <c r="BF267" s="196"/>
      <c r="BG267" s="194"/>
      <c r="BH267" s="201"/>
      <c r="BI267" s="199"/>
      <c r="BJ267" s="197"/>
    </row>
    <row r="268" spans="1:62" ht="29.25" customHeight="1" x14ac:dyDescent="0.25">
      <c r="A268" s="44" t="s">
        <v>405</v>
      </c>
      <c r="B268" s="58" t="s">
        <v>2068</v>
      </c>
      <c r="C268" s="45"/>
      <c r="D268" s="248" t="s">
        <v>2074</v>
      </c>
      <c r="E268" s="45" t="s">
        <v>21</v>
      </c>
      <c r="F268" s="158">
        <v>776.34</v>
      </c>
      <c r="G268" s="159">
        <v>758.56999999999994</v>
      </c>
      <c r="H268" s="240" t="s">
        <v>2000</v>
      </c>
      <c r="I268" s="240" t="s">
        <v>2001</v>
      </c>
      <c r="J268" s="243"/>
      <c r="K268" s="241" t="str">
        <f t="shared" si="118"/>
        <v/>
      </c>
      <c r="L268" s="238" t="str">
        <f t="shared" si="119"/>
        <v/>
      </c>
      <c r="M268" s="163"/>
      <c r="N268" s="52"/>
      <c r="O268" s="53"/>
      <c r="P268" s="235">
        <f t="shared" si="120"/>
        <v>0</v>
      </c>
      <c r="Q268" s="236">
        <f t="shared" si="121"/>
        <v>0</v>
      </c>
      <c r="R268" s="236">
        <f t="shared" si="122"/>
        <v>0</v>
      </c>
      <c r="S268" s="236">
        <f t="shared" si="123"/>
        <v>0</v>
      </c>
      <c r="T268" s="236">
        <f t="shared" si="124"/>
        <v>0</v>
      </c>
      <c r="U268" s="237" t="str">
        <f>IF(AA268 = "", "", IF(OR($H268 = PARÂMETROS!$E$5, $H268 = ""), AA268, IF(OR(AA268 &lt; (1-VLOOKUP($H268,PARÂMETROS!$E:$F,2,FALSE))*$P268, AA268 &gt; (1+VLOOKUP($H268,PARÂMETROS!$E:$F,2,FALSE))*$P268),"",AA268)))</f>
        <v/>
      </c>
      <c r="V268" s="237" t="str">
        <f>IF(AG268 = "", "", IF(OR($H268 = PARÂMETROS!$E$5, $H268 = ""), AG268, IF(OR(AG268 &lt; (1-VLOOKUP($H268,PARÂMETROS!$E:$F,2,FALSE))*$P273, AG268 &gt; (1+VLOOKUP($H268,PARÂMETROS!$E:$F,2,FALSE))*$P268),"",AG268)))</f>
        <v/>
      </c>
      <c r="W268" s="237" t="str">
        <f>IF(AM268 = "", "", IF(OR($H268 = PARÂMETROS!$E$5, $H268 = ""), AM268, IF(OR(AM268 &lt; (1-VLOOKUP($H268,PARÂMETROS!$E:$F,2,FALSE))*$P268, AM268 &gt; (1+VLOOKUP($H268,PARÂMETROS!$E:$F,2,FALSE))*$P268),"",AM268)))</f>
        <v/>
      </c>
      <c r="X268" s="237" t="str">
        <f>IF(AS268 = "", "", IF(OR($H268 = PARÂMETROS!$E$5, $H268 = ""), AS268, IF(OR(AS268 &lt; (1-VLOOKUP($H268,PARÂMETROS!$E:$F,2,FALSE))*$P268, AS268 &gt; (1+VLOOKUP($H268,PARÂMETROS!$E:$F,2,FALSE))*$P268),"",AS268)))</f>
        <v/>
      </c>
      <c r="Y268" s="237" t="str">
        <f>IF(AY268 = "", "", IF(OR($H268 = PARÂMETROS!$E$5, $H268 = ""), AY268, IF(OR(AY268 &lt; (1-VLOOKUP($H268,PARÂMETROS!$E:$F,2,FALSE))*$P268, AY268 &gt; (1+VLOOKUP($H268,PARÂMETROS!$E:$F,2,FALSE))*$P268),"",AY268)))</f>
        <v/>
      </c>
      <c r="Z268" s="237" t="str">
        <f>IF(BE268 = "", "", IF(OR($H268 = PARÂMETROS!$E$5, $H268 = ""), BE268, IF(OR(BE268 &lt; (1-VLOOKUP($H268,PARÂMETROS!$E:$F,2,FALSE))*$P268, BE268 &gt; (1+VLOOKUP($H268,PARÂMETROS!$E:$F,2,FALSE))*$P268),"",BE268)))</f>
        <v/>
      </c>
      <c r="AA268" s="207"/>
      <c r="AB268" s="208"/>
      <c r="AC268" s="206"/>
      <c r="AD268" s="217"/>
      <c r="AE268" s="218"/>
      <c r="AF268" s="220" t="str">
        <f t="shared" ca="1" si="113"/>
        <v/>
      </c>
      <c r="AG268" s="229"/>
      <c r="AH268" s="231"/>
      <c r="AI268" s="206"/>
      <c r="AJ268" s="217"/>
      <c r="AK268" s="218"/>
      <c r="AL268" s="220"/>
      <c r="AM268" s="229"/>
      <c r="AN268" s="231"/>
      <c r="AO268" s="206"/>
      <c r="AP268" s="217"/>
      <c r="AQ268" s="218"/>
      <c r="AR268" s="220"/>
      <c r="AS268" s="229"/>
      <c r="AT268" s="231"/>
      <c r="AU268" s="191"/>
      <c r="AV268" s="217"/>
      <c r="AW268" s="218"/>
      <c r="AX268" s="220"/>
      <c r="AY268" s="195"/>
      <c r="AZ268" s="196"/>
      <c r="BA268" s="209"/>
      <c r="BB268" s="201"/>
      <c r="BC268" s="199"/>
      <c r="BD268" s="220" t="str">
        <f t="shared" ca="1" si="117"/>
        <v/>
      </c>
      <c r="BE268" s="195"/>
      <c r="BF268" s="196"/>
      <c r="BG268" s="194"/>
      <c r="BH268" s="201"/>
      <c r="BI268" s="199"/>
      <c r="BJ268" s="197"/>
    </row>
    <row r="269" spans="1:62" x14ac:dyDescent="0.25">
      <c r="A269" s="44"/>
      <c r="B269" s="58"/>
      <c r="C269" s="45"/>
      <c r="D269" s="55"/>
      <c r="E269" s="45"/>
      <c r="F269" s="158"/>
      <c r="G269" s="159"/>
      <c r="H269" s="240" t="s">
        <v>2000</v>
      </c>
      <c r="I269" s="240" t="s">
        <v>2001</v>
      </c>
      <c r="J269" s="243"/>
      <c r="K269" s="241" t="str">
        <f t="shared" si="118"/>
        <v/>
      </c>
      <c r="L269" s="238" t="str">
        <f t="shared" si="119"/>
        <v/>
      </c>
      <c r="M269" s="163"/>
      <c r="N269" s="52"/>
      <c r="O269" s="53"/>
      <c r="P269" s="235">
        <f t="shared" si="120"/>
        <v>0</v>
      </c>
      <c r="Q269" s="236">
        <f t="shared" si="121"/>
        <v>0</v>
      </c>
      <c r="R269" s="236">
        <f t="shared" si="122"/>
        <v>0</v>
      </c>
      <c r="S269" s="236">
        <f t="shared" si="123"/>
        <v>0</v>
      </c>
      <c r="T269" s="236">
        <f t="shared" si="124"/>
        <v>0</v>
      </c>
      <c r="U269" s="237" t="str">
        <f>IF(AA269 = "", "", IF(OR($H269 = PARÂMETROS!$E$5, $H269 = ""), AA269, IF(OR(AA269 &lt; (1-VLOOKUP($H269,PARÂMETROS!$E:$F,2,FALSE))*$P269, AA269 &gt; (1+VLOOKUP($H269,PARÂMETROS!$E:$F,2,FALSE))*$P269),"",AA269)))</f>
        <v/>
      </c>
      <c r="V269" s="237" t="str">
        <f>IF(AG269 = "", "", IF(OR($H269 = PARÂMETROS!$E$5, $H269 = ""), AG269, IF(OR(AG269 &lt; (1-VLOOKUP($H269,PARÂMETROS!$E:$F,2,FALSE))*$P274, AG269 &gt; (1+VLOOKUP($H269,PARÂMETROS!$E:$F,2,FALSE))*$P269),"",AG269)))</f>
        <v/>
      </c>
      <c r="W269" s="237" t="str">
        <f>IF(AM269 = "", "", IF(OR($H269 = PARÂMETROS!$E$5, $H269 = ""), AM269, IF(OR(AM269 &lt; (1-VLOOKUP($H269,PARÂMETROS!$E:$F,2,FALSE))*$P269, AM269 &gt; (1+VLOOKUP($H269,PARÂMETROS!$E:$F,2,FALSE))*$P269),"",AM269)))</f>
        <v/>
      </c>
      <c r="X269" s="237" t="str">
        <f>IF(AS269 = "", "", IF(OR($H269 = PARÂMETROS!$E$5, $H269 = ""), AS269, IF(OR(AS269 &lt; (1-VLOOKUP($H269,PARÂMETROS!$E:$F,2,FALSE))*$P269, AS269 &gt; (1+VLOOKUP($H269,PARÂMETROS!$E:$F,2,FALSE))*$P269),"",AS269)))</f>
        <v/>
      </c>
      <c r="Y269" s="237" t="str">
        <f>IF(AY269 = "", "", IF(OR($H269 = PARÂMETROS!$E$5, $H269 = ""), AY269, IF(OR(AY269 &lt; (1-VLOOKUP($H269,PARÂMETROS!$E:$F,2,FALSE))*$P269, AY269 &gt; (1+VLOOKUP($H269,PARÂMETROS!$E:$F,2,FALSE))*$P269),"",AY269)))</f>
        <v/>
      </c>
      <c r="Z269" s="237" t="str">
        <f>IF(BE269 = "", "", IF(OR($H269 = PARÂMETROS!$E$5, $H269 = ""), BE269, IF(OR(BE269 &lt; (1-VLOOKUP($H269,PARÂMETROS!$E:$F,2,FALSE))*$P269, BE269 &gt; (1+VLOOKUP($H269,PARÂMETROS!$E:$F,2,FALSE))*$P269),"",BE269)))</f>
        <v/>
      </c>
      <c r="AA269" s="207"/>
      <c r="AB269" s="208"/>
      <c r="AC269" s="206"/>
      <c r="AD269" s="217"/>
      <c r="AE269" s="218"/>
      <c r="AF269" s="220" t="str">
        <f t="shared" ca="1" si="113"/>
        <v/>
      </c>
      <c r="AG269" s="229"/>
      <c r="AH269" s="231"/>
      <c r="AI269" s="206"/>
      <c r="AJ269" s="217"/>
      <c r="AK269" s="218"/>
      <c r="AL269" s="220"/>
      <c r="AM269" s="229"/>
      <c r="AN269" s="231"/>
      <c r="AO269" s="206"/>
      <c r="AP269" s="217"/>
      <c r="AQ269" s="218"/>
      <c r="AR269" s="220"/>
      <c r="AS269" s="229"/>
      <c r="AT269" s="231"/>
      <c r="AU269" s="191"/>
      <c r="AV269" s="217"/>
      <c r="AW269" s="218"/>
      <c r="AX269" s="220"/>
      <c r="AY269" s="195"/>
      <c r="AZ269" s="196"/>
      <c r="BA269" s="209"/>
      <c r="BB269" s="201"/>
      <c r="BC269" s="199"/>
      <c r="BD269" s="220" t="str">
        <f t="shared" ca="1" si="117"/>
        <v/>
      </c>
      <c r="BE269" s="195"/>
      <c r="BF269" s="196"/>
      <c r="BG269" s="194"/>
      <c r="BH269" s="201"/>
      <c r="BI269" s="199"/>
      <c r="BJ269" s="197"/>
    </row>
    <row r="270" spans="1:62" x14ac:dyDescent="0.25">
      <c r="A270" s="44"/>
      <c r="B270" s="58"/>
      <c r="C270" s="45"/>
      <c r="D270" s="55"/>
      <c r="E270" s="45"/>
      <c r="F270" s="158"/>
      <c r="G270" s="159"/>
      <c r="H270" s="240" t="s">
        <v>2000</v>
      </c>
      <c r="I270" s="240" t="s">
        <v>2001</v>
      </c>
      <c r="J270" s="243"/>
      <c r="K270" s="241" t="str">
        <f t="shared" si="118"/>
        <v/>
      </c>
      <c r="L270" s="238" t="str">
        <f t="shared" si="119"/>
        <v/>
      </c>
      <c r="M270" s="163"/>
      <c r="N270" s="52"/>
      <c r="O270" s="53"/>
      <c r="P270" s="235">
        <f t="shared" si="120"/>
        <v>0</v>
      </c>
      <c r="Q270" s="236">
        <f t="shared" si="121"/>
        <v>0</v>
      </c>
      <c r="R270" s="236">
        <f t="shared" si="122"/>
        <v>0</v>
      </c>
      <c r="S270" s="236">
        <f t="shared" si="123"/>
        <v>0</v>
      </c>
      <c r="T270" s="236">
        <f t="shared" si="124"/>
        <v>0</v>
      </c>
      <c r="U270" s="237" t="str">
        <f>IF(AA270 = "", "", IF(OR($H270 = PARÂMETROS!$E$5, $H270 = ""), AA270, IF(OR(AA270 &lt; (1-VLOOKUP($H270,PARÂMETROS!$E:$F,2,FALSE))*$P270, AA270 &gt; (1+VLOOKUP($H270,PARÂMETROS!$E:$F,2,FALSE))*$P270),"",AA270)))</f>
        <v/>
      </c>
      <c r="V270" s="237" t="str">
        <f>IF(AG270 = "", "", IF(OR($H270 = PARÂMETROS!$E$5, $H270 = ""), AG270, IF(OR(AG270 &lt; (1-VLOOKUP($H270,PARÂMETROS!$E:$F,2,FALSE))*$P275, AG270 &gt; (1+VLOOKUP($H270,PARÂMETROS!$E:$F,2,FALSE))*$P270),"",AG270)))</f>
        <v/>
      </c>
      <c r="W270" s="237" t="str">
        <f>IF(AM270 = "", "", IF(OR($H270 = PARÂMETROS!$E$5, $H270 = ""), AM270, IF(OR(AM270 &lt; (1-VLOOKUP($H270,PARÂMETROS!$E:$F,2,FALSE))*$P270, AM270 &gt; (1+VLOOKUP($H270,PARÂMETROS!$E:$F,2,FALSE))*$P270),"",AM270)))</f>
        <v/>
      </c>
      <c r="X270" s="237" t="str">
        <f>IF(AS270 = "", "", IF(OR($H270 = PARÂMETROS!$E$5, $H270 = ""), AS270, IF(OR(AS270 &lt; (1-VLOOKUP($H270,PARÂMETROS!$E:$F,2,FALSE))*$P270, AS270 &gt; (1+VLOOKUP($H270,PARÂMETROS!$E:$F,2,FALSE))*$P270),"",AS270)))</f>
        <v/>
      </c>
      <c r="Y270" s="237" t="str">
        <f>IF(AY270 = "", "", IF(OR($H270 = PARÂMETROS!$E$5, $H270 = ""), AY270, IF(OR(AY270 &lt; (1-VLOOKUP($H270,PARÂMETROS!$E:$F,2,FALSE))*$P270, AY270 &gt; (1+VLOOKUP($H270,PARÂMETROS!$E:$F,2,FALSE))*$P270),"",AY270)))</f>
        <v/>
      </c>
      <c r="Z270" s="237" t="str">
        <f>IF(BE270 = "", "", IF(OR($H270 = PARÂMETROS!$E$5, $H270 = ""), BE270, IF(OR(BE270 &lt; (1-VLOOKUP($H270,PARÂMETROS!$E:$F,2,FALSE))*$P270, BE270 &gt; (1+VLOOKUP($H270,PARÂMETROS!$E:$F,2,FALSE))*$P270),"",BE270)))</f>
        <v/>
      </c>
      <c r="AA270" s="207"/>
      <c r="AB270" s="208"/>
      <c r="AC270" s="206"/>
      <c r="AD270" s="217"/>
      <c r="AE270" s="218"/>
      <c r="AF270" s="220" t="str">
        <f t="shared" ca="1" si="113"/>
        <v/>
      </c>
      <c r="AG270" s="229"/>
      <c r="AH270" s="231"/>
      <c r="AI270" s="206"/>
      <c r="AJ270" s="217"/>
      <c r="AK270" s="218"/>
      <c r="AL270" s="220"/>
      <c r="AM270" s="229"/>
      <c r="AN270" s="231"/>
      <c r="AO270" s="206"/>
      <c r="AP270" s="217"/>
      <c r="AQ270" s="218"/>
      <c r="AR270" s="220"/>
      <c r="AS270" s="229"/>
      <c r="AT270" s="231"/>
      <c r="AU270" s="191"/>
      <c r="AV270" s="217"/>
      <c r="AW270" s="218"/>
      <c r="AX270" s="220"/>
      <c r="AY270" s="195"/>
      <c r="AZ270" s="196"/>
      <c r="BA270" s="209"/>
      <c r="BB270" s="201"/>
      <c r="BC270" s="199"/>
      <c r="BD270" s="220" t="str">
        <f t="shared" ca="1" si="117"/>
        <v/>
      </c>
      <c r="BE270" s="195"/>
      <c r="BF270" s="196"/>
      <c r="BG270" s="194"/>
      <c r="BH270" s="201"/>
      <c r="BI270" s="199"/>
      <c r="BJ270" s="197"/>
    </row>
    <row r="271" spans="1:62" x14ac:dyDescent="0.25">
      <c r="A271" s="44"/>
      <c r="B271" s="58"/>
      <c r="C271" s="45"/>
      <c r="D271" s="55"/>
      <c r="E271" s="45"/>
      <c r="F271" s="158"/>
      <c r="G271" s="159"/>
      <c r="H271" s="240" t="s">
        <v>2000</v>
      </c>
      <c r="I271" s="240" t="s">
        <v>2001</v>
      </c>
      <c r="J271" s="243"/>
      <c r="K271" s="241" t="str">
        <f t="shared" si="118"/>
        <v/>
      </c>
      <c r="L271" s="238" t="str">
        <f t="shared" si="119"/>
        <v/>
      </c>
      <c r="M271" s="163"/>
      <c r="N271" s="52"/>
      <c r="O271" s="53"/>
      <c r="P271" s="235">
        <f t="shared" si="120"/>
        <v>0</v>
      </c>
      <c r="Q271" s="236">
        <f t="shared" si="121"/>
        <v>0</v>
      </c>
      <c r="R271" s="236">
        <f t="shared" si="122"/>
        <v>0</v>
      </c>
      <c r="S271" s="236">
        <f t="shared" si="123"/>
        <v>0</v>
      </c>
      <c r="T271" s="236">
        <f t="shared" si="124"/>
        <v>0</v>
      </c>
      <c r="U271" s="237" t="str">
        <f>IF(AA271 = "", "", IF(OR($H271 = PARÂMETROS!$E$5, $H271 = ""), AA271, IF(OR(AA271 &lt; (1-VLOOKUP($H271,PARÂMETROS!$E:$F,2,FALSE))*$P271, AA271 &gt; (1+VLOOKUP($H271,PARÂMETROS!$E:$F,2,FALSE))*$P271),"",AA271)))</f>
        <v/>
      </c>
      <c r="V271" s="237" t="str">
        <f>IF(AG271 = "", "", IF(OR($H271 = PARÂMETROS!$E$5, $H271 = ""), AG271, IF(OR(AG271 &lt; (1-VLOOKUP($H271,PARÂMETROS!$E:$F,2,FALSE))*$P276, AG271 &gt; (1+VLOOKUP($H271,PARÂMETROS!$E:$F,2,FALSE))*$P271),"",AG271)))</f>
        <v/>
      </c>
      <c r="W271" s="237" t="str">
        <f>IF(AM271 = "", "", IF(OR($H271 = PARÂMETROS!$E$5, $H271 = ""), AM271, IF(OR(AM271 &lt; (1-VLOOKUP($H271,PARÂMETROS!$E:$F,2,FALSE))*$P271, AM271 &gt; (1+VLOOKUP($H271,PARÂMETROS!$E:$F,2,FALSE))*$P271),"",AM271)))</f>
        <v/>
      </c>
      <c r="X271" s="237" t="str">
        <f>IF(AS271 = "", "", IF(OR($H271 = PARÂMETROS!$E$5, $H271 = ""), AS271, IF(OR(AS271 &lt; (1-VLOOKUP($H271,PARÂMETROS!$E:$F,2,FALSE))*$P271, AS271 &gt; (1+VLOOKUP($H271,PARÂMETROS!$E:$F,2,FALSE))*$P271),"",AS271)))</f>
        <v/>
      </c>
      <c r="Y271" s="237" t="str">
        <f>IF(AY271 = "", "", IF(OR($H271 = PARÂMETROS!$E$5, $H271 = ""), AY271, IF(OR(AY271 &lt; (1-VLOOKUP($H271,PARÂMETROS!$E:$F,2,FALSE))*$P271, AY271 &gt; (1+VLOOKUP($H271,PARÂMETROS!$E:$F,2,FALSE))*$P271),"",AY271)))</f>
        <v/>
      </c>
      <c r="Z271" s="237" t="str">
        <f>IF(BE271 = "", "", IF(OR($H271 = PARÂMETROS!$E$5, $H271 = ""), BE271, IF(OR(BE271 &lt; (1-VLOOKUP($H271,PARÂMETROS!$E:$F,2,FALSE))*$P271, BE271 &gt; (1+VLOOKUP($H271,PARÂMETROS!$E:$F,2,FALSE))*$P271),"",BE271)))</f>
        <v/>
      </c>
      <c r="AA271" s="207"/>
      <c r="AB271" s="208"/>
      <c r="AC271" s="206"/>
      <c r="AD271" s="217"/>
      <c r="AE271" s="218"/>
      <c r="AF271" s="220"/>
      <c r="AG271" s="229"/>
      <c r="AH271" s="231"/>
      <c r="AI271" s="206"/>
      <c r="AJ271" s="217"/>
      <c r="AK271" s="218"/>
      <c r="AL271" s="220"/>
      <c r="AM271" s="229"/>
      <c r="AN271" s="231"/>
      <c r="AO271" s="206"/>
      <c r="AP271" s="217"/>
      <c r="AQ271" s="218"/>
      <c r="AR271" s="220"/>
      <c r="AS271" s="229"/>
      <c r="AT271" s="231"/>
      <c r="AU271" s="191"/>
      <c r="AV271" s="217"/>
      <c r="AW271" s="218"/>
      <c r="AX271" s="220"/>
      <c r="AY271" s="195"/>
      <c r="AZ271" s="196"/>
      <c r="BA271" s="209"/>
      <c r="BB271" s="201"/>
      <c r="BC271" s="199"/>
      <c r="BD271" s="220" t="str">
        <f t="shared" ca="1" si="117"/>
        <v/>
      </c>
      <c r="BE271" s="195"/>
      <c r="BF271" s="196"/>
      <c r="BG271" s="194"/>
      <c r="BH271" s="201"/>
      <c r="BI271" s="199"/>
      <c r="BJ271" s="197"/>
    </row>
    <row r="272" spans="1:62" x14ac:dyDescent="0.25">
      <c r="A272" s="44"/>
      <c r="B272" s="58"/>
      <c r="C272" s="45"/>
      <c r="D272" s="55"/>
      <c r="E272" s="45"/>
      <c r="F272" s="158"/>
      <c r="G272" s="159"/>
      <c r="H272" s="240" t="s">
        <v>2000</v>
      </c>
      <c r="I272" s="240" t="s">
        <v>2001</v>
      </c>
      <c r="J272" s="243"/>
      <c r="K272" s="241" t="str">
        <f t="shared" si="118"/>
        <v/>
      </c>
      <c r="L272" s="238" t="str">
        <f t="shared" si="119"/>
        <v/>
      </c>
      <c r="M272" s="163"/>
      <c r="N272" s="52"/>
      <c r="O272" s="53"/>
      <c r="P272" s="235">
        <f t="shared" si="120"/>
        <v>0</v>
      </c>
      <c r="Q272" s="236">
        <f t="shared" si="121"/>
        <v>0</v>
      </c>
      <c r="R272" s="236">
        <f t="shared" si="122"/>
        <v>0</v>
      </c>
      <c r="S272" s="236">
        <f t="shared" si="123"/>
        <v>0</v>
      </c>
      <c r="T272" s="236">
        <f t="shared" si="124"/>
        <v>0</v>
      </c>
      <c r="U272" s="237" t="str">
        <f>IF(AA272 = "", "", IF(OR($H272 = PARÂMETROS!$E$5, $H272 = ""), AA272, IF(OR(AA272 &lt; (1-VLOOKUP($H272,PARÂMETROS!$E:$F,2,FALSE))*$P272, AA272 &gt; (1+VLOOKUP($H272,PARÂMETROS!$E:$F,2,FALSE))*$P272),"",AA272)))</f>
        <v/>
      </c>
      <c r="V272" s="237" t="str">
        <f>IF(AG272 = "", "", IF(OR($H272 = PARÂMETROS!$E$5, $H272 = ""), AG272, IF(OR(AG272 &lt; (1-VLOOKUP($H272,PARÂMETROS!$E:$F,2,FALSE))*$P277, AG272 &gt; (1+VLOOKUP($H272,PARÂMETROS!$E:$F,2,FALSE))*$P272),"",AG272)))</f>
        <v/>
      </c>
      <c r="W272" s="237" t="str">
        <f>IF(AM272 = "", "", IF(OR($H272 = PARÂMETROS!$E$5, $H272 = ""), AM272, IF(OR(AM272 &lt; (1-VLOOKUP($H272,PARÂMETROS!$E:$F,2,FALSE))*$P272, AM272 &gt; (1+VLOOKUP($H272,PARÂMETROS!$E:$F,2,FALSE))*$P272),"",AM272)))</f>
        <v/>
      </c>
      <c r="X272" s="237" t="str">
        <f>IF(AS272 = "", "", IF(OR($H272 = PARÂMETROS!$E$5, $H272 = ""), AS272, IF(OR(AS272 &lt; (1-VLOOKUP($H272,PARÂMETROS!$E:$F,2,FALSE))*$P272, AS272 &gt; (1+VLOOKUP($H272,PARÂMETROS!$E:$F,2,FALSE))*$P272),"",AS272)))</f>
        <v/>
      </c>
      <c r="Y272" s="237" t="str">
        <f>IF(AY272 = "", "", IF(OR($H272 = PARÂMETROS!$E$5, $H272 = ""), AY272, IF(OR(AY272 &lt; (1-VLOOKUP($H272,PARÂMETROS!$E:$F,2,FALSE))*$P272, AY272 &gt; (1+VLOOKUP($H272,PARÂMETROS!$E:$F,2,FALSE))*$P272),"",AY272)))</f>
        <v/>
      </c>
      <c r="Z272" s="237" t="str">
        <f>IF(BE272 = "", "", IF(OR($H272 = PARÂMETROS!$E$5, $H272 = ""), BE272, IF(OR(BE272 &lt; (1-VLOOKUP($H272,PARÂMETROS!$E:$F,2,FALSE))*$P272, BE272 &gt; (1+VLOOKUP($H272,PARÂMETROS!$E:$F,2,FALSE))*$P272),"",BE272)))</f>
        <v/>
      </c>
      <c r="AA272" s="207"/>
      <c r="AB272" s="208"/>
      <c r="AC272" s="206"/>
      <c r="AD272" s="217"/>
      <c r="AE272" s="218"/>
      <c r="AF272" s="220"/>
      <c r="AG272" s="229"/>
      <c r="AH272" s="231"/>
      <c r="AI272" s="206"/>
      <c r="AJ272" s="217"/>
      <c r="AK272" s="218"/>
      <c r="AL272" s="220"/>
      <c r="AM272" s="229"/>
      <c r="AN272" s="231"/>
      <c r="AO272" s="206"/>
      <c r="AP272" s="217"/>
      <c r="AQ272" s="218"/>
      <c r="AR272" s="220"/>
      <c r="AS272" s="229"/>
      <c r="AT272" s="231"/>
      <c r="AU272" s="191"/>
      <c r="AV272" s="217"/>
      <c r="AW272" s="218"/>
      <c r="AX272" s="220"/>
      <c r="AY272" s="195"/>
      <c r="AZ272" s="196"/>
      <c r="BA272" s="209"/>
      <c r="BB272" s="201"/>
      <c r="BC272" s="199"/>
      <c r="BD272" s="220" t="str">
        <f t="shared" ca="1" si="117"/>
        <v/>
      </c>
      <c r="BE272" s="195"/>
      <c r="BF272" s="196"/>
      <c r="BG272" s="194"/>
      <c r="BH272" s="201"/>
      <c r="BI272" s="199"/>
      <c r="BJ272" s="197"/>
    </row>
    <row r="273" spans="1:62" x14ac:dyDescent="0.25">
      <c r="A273" s="44"/>
      <c r="B273" s="58"/>
      <c r="C273" s="45"/>
      <c r="D273" s="55"/>
      <c r="E273" s="45"/>
      <c r="F273" s="158"/>
      <c r="G273" s="159"/>
      <c r="H273" s="240" t="s">
        <v>2000</v>
      </c>
      <c r="I273" s="240" t="s">
        <v>2001</v>
      </c>
      <c r="J273" s="243"/>
      <c r="K273" s="241" t="str">
        <f t="shared" si="118"/>
        <v/>
      </c>
      <c r="L273" s="238" t="str">
        <f t="shared" si="119"/>
        <v/>
      </c>
      <c r="M273" s="163"/>
      <c r="N273" s="52"/>
      <c r="O273" s="53"/>
      <c r="P273" s="235">
        <f t="shared" si="120"/>
        <v>0</v>
      </c>
      <c r="Q273" s="236">
        <f t="shared" si="121"/>
        <v>0</v>
      </c>
      <c r="R273" s="236">
        <f t="shared" si="122"/>
        <v>0</v>
      </c>
      <c r="S273" s="236">
        <f t="shared" si="123"/>
        <v>0</v>
      </c>
      <c r="T273" s="236">
        <f t="shared" si="124"/>
        <v>0</v>
      </c>
      <c r="U273" s="237" t="str">
        <f>IF(AA273 = "", "", IF(OR($H273 = PARÂMETROS!$E$5, $H273 = ""), AA273, IF(OR(AA273 &lt; (1-VLOOKUP($H273,PARÂMETROS!$E:$F,2,FALSE))*$P273, AA273 &gt; (1+VLOOKUP($H273,PARÂMETROS!$E:$F,2,FALSE))*$P273),"",AA273)))</f>
        <v/>
      </c>
      <c r="V273" s="237" t="str">
        <f>IF(AG273 = "", "", IF(OR($H273 = PARÂMETROS!$E$5, $H273 = ""), AG273, IF(OR(AG273 &lt; (1-VLOOKUP($H273,PARÂMETROS!$E:$F,2,FALSE))*$P278, AG273 &gt; (1+VLOOKUP($H273,PARÂMETROS!$E:$F,2,FALSE))*$P273),"",AG273)))</f>
        <v/>
      </c>
      <c r="W273" s="237" t="str">
        <f>IF(AM273 = "", "", IF(OR($H273 = PARÂMETROS!$E$5, $H273 = ""), AM273, IF(OR(AM273 &lt; (1-VLOOKUP($H273,PARÂMETROS!$E:$F,2,FALSE))*$P273, AM273 &gt; (1+VLOOKUP($H273,PARÂMETROS!$E:$F,2,FALSE))*$P273),"",AM273)))</f>
        <v/>
      </c>
      <c r="X273" s="237" t="str">
        <f>IF(AS273 = "", "", IF(OR($H273 = PARÂMETROS!$E$5, $H273 = ""), AS273, IF(OR(AS273 &lt; (1-VLOOKUP($H273,PARÂMETROS!$E:$F,2,FALSE))*$P273, AS273 &gt; (1+VLOOKUP($H273,PARÂMETROS!$E:$F,2,FALSE))*$P273),"",AS273)))</f>
        <v/>
      </c>
      <c r="Y273" s="237" t="str">
        <f>IF(AY273 = "", "", IF(OR($H273 = PARÂMETROS!$E$5, $H273 = ""), AY273, IF(OR(AY273 &lt; (1-VLOOKUP($H273,PARÂMETROS!$E:$F,2,FALSE))*$P273, AY273 &gt; (1+VLOOKUP($H273,PARÂMETROS!$E:$F,2,FALSE))*$P273),"",AY273)))</f>
        <v/>
      </c>
      <c r="Z273" s="237" t="str">
        <f>IF(BE273 = "", "", IF(OR($H273 = PARÂMETROS!$E$5, $H273 = ""), BE273, IF(OR(BE273 &lt; (1-VLOOKUP($H273,PARÂMETROS!$E:$F,2,FALSE))*$P273, BE273 &gt; (1+VLOOKUP($H273,PARÂMETROS!$E:$F,2,FALSE))*$P273),"",BE273)))</f>
        <v/>
      </c>
      <c r="AA273" s="207"/>
      <c r="AB273" s="208"/>
      <c r="AC273" s="206"/>
      <c r="AD273" s="217"/>
      <c r="AE273" s="218"/>
      <c r="AF273" s="220"/>
      <c r="AG273" s="229"/>
      <c r="AH273" s="231"/>
      <c r="AI273" s="206"/>
      <c r="AJ273" s="217"/>
      <c r="AK273" s="218"/>
      <c r="AL273" s="220"/>
      <c r="AM273" s="229"/>
      <c r="AN273" s="231"/>
      <c r="AO273" s="206"/>
      <c r="AP273" s="217"/>
      <c r="AQ273" s="218"/>
      <c r="AR273" s="220"/>
      <c r="AS273" s="229"/>
      <c r="AT273" s="231"/>
      <c r="AU273" s="191"/>
      <c r="AV273" s="217"/>
      <c r="AW273" s="218"/>
      <c r="AX273" s="220"/>
      <c r="AY273" s="195"/>
      <c r="AZ273" s="196"/>
      <c r="BA273" s="209"/>
      <c r="BB273" s="201"/>
      <c r="BC273" s="199"/>
      <c r="BD273" s="220" t="str">
        <f t="shared" ca="1" si="117"/>
        <v/>
      </c>
      <c r="BE273" s="195"/>
      <c r="BF273" s="196"/>
      <c r="BG273" s="194"/>
      <c r="BH273" s="201"/>
      <c r="BI273" s="199"/>
      <c r="BJ273" s="197"/>
    </row>
    <row r="274" spans="1:62" x14ac:dyDescent="0.25">
      <c r="A274" s="44"/>
      <c r="B274" s="58"/>
      <c r="C274" s="45"/>
      <c r="D274" s="55"/>
      <c r="E274" s="45"/>
      <c r="F274" s="158"/>
      <c r="G274" s="159"/>
      <c r="H274" s="240" t="s">
        <v>2000</v>
      </c>
      <c r="I274" s="240" t="s">
        <v>2001</v>
      </c>
      <c r="J274" s="243"/>
      <c r="K274" s="241" t="str">
        <f t="shared" si="118"/>
        <v/>
      </c>
      <c r="L274" s="238" t="str">
        <f t="shared" si="119"/>
        <v/>
      </c>
      <c r="M274" s="163"/>
      <c r="N274" s="52"/>
      <c r="O274" s="53"/>
      <c r="P274" s="235">
        <f t="shared" si="120"/>
        <v>0</v>
      </c>
      <c r="Q274" s="236">
        <f t="shared" si="121"/>
        <v>0</v>
      </c>
      <c r="R274" s="236">
        <f t="shared" si="122"/>
        <v>0</v>
      </c>
      <c r="S274" s="236">
        <f t="shared" si="123"/>
        <v>0</v>
      </c>
      <c r="T274" s="236">
        <f t="shared" si="124"/>
        <v>0</v>
      </c>
      <c r="U274" s="237" t="str">
        <f>IF(AA274 = "", "", IF(OR($H274 = PARÂMETROS!$E$5, $H274 = ""), AA274, IF(OR(AA274 &lt; (1-VLOOKUP($H274,PARÂMETROS!$E:$F,2,FALSE))*$P274, AA274 &gt; (1+VLOOKUP($H274,PARÂMETROS!$E:$F,2,FALSE))*$P274),"",AA274)))</f>
        <v/>
      </c>
      <c r="V274" s="237" t="str">
        <f>IF(AG274 = "", "", IF(OR($H274 = PARÂMETROS!$E$5, $H274 = ""), AG274, IF(OR(AG274 &lt; (1-VLOOKUP($H274,PARÂMETROS!$E:$F,2,FALSE))*$P279, AG274 &gt; (1+VLOOKUP($H274,PARÂMETROS!$E:$F,2,FALSE))*$P274),"",AG274)))</f>
        <v/>
      </c>
      <c r="W274" s="237" t="str">
        <f>IF(AM274 = "", "", IF(OR($H274 = PARÂMETROS!$E$5, $H274 = ""), AM274, IF(OR(AM274 &lt; (1-VLOOKUP($H274,PARÂMETROS!$E:$F,2,FALSE))*$P274, AM274 &gt; (1+VLOOKUP($H274,PARÂMETROS!$E:$F,2,FALSE))*$P274),"",AM274)))</f>
        <v/>
      </c>
      <c r="X274" s="237" t="str">
        <f>IF(AS274 = "", "", IF(OR($H274 = PARÂMETROS!$E$5, $H274 = ""), AS274, IF(OR(AS274 &lt; (1-VLOOKUP($H274,PARÂMETROS!$E:$F,2,FALSE))*$P274, AS274 &gt; (1+VLOOKUP($H274,PARÂMETROS!$E:$F,2,FALSE))*$P274),"",AS274)))</f>
        <v/>
      </c>
      <c r="Y274" s="237" t="str">
        <f>IF(AY274 = "", "", IF(OR($H274 = PARÂMETROS!$E$5, $H274 = ""), AY274, IF(OR(AY274 &lt; (1-VLOOKUP($H274,PARÂMETROS!$E:$F,2,FALSE))*$P274, AY274 &gt; (1+VLOOKUP($H274,PARÂMETROS!$E:$F,2,FALSE))*$P274),"",AY274)))</f>
        <v/>
      </c>
      <c r="Z274" s="237" t="str">
        <f>IF(BE274 = "", "", IF(OR($H274 = PARÂMETROS!$E$5, $H274 = ""), BE274, IF(OR(BE274 &lt; (1-VLOOKUP($H274,PARÂMETROS!$E:$F,2,FALSE))*$P274, BE274 &gt; (1+VLOOKUP($H274,PARÂMETROS!$E:$F,2,FALSE))*$P274),"",BE274)))</f>
        <v/>
      </c>
      <c r="AA274" s="207"/>
      <c r="AB274" s="208"/>
      <c r="AC274" s="206"/>
      <c r="AD274" s="217"/>
      <c r="AE274" s="218"/>
      <c r="AF274" s="220"/>
      <c r="AG274" s="229"/>
      <c r="AH274" s="231"/>
      <c r="AI274" s="206"/>
      <c r="AJ274" s="217"/>
      <c r="AK274" s="218"/>
      <c r="AL274" s="220"/>
      <c r="AM274" s="229"/>
      <c r="AN274" s="231"/>
      <c r="AO274" s="206"/>
      <c r="AP274" s="217"/>
      <c r="AQ274" s="218"/>
      <c r="AR274" s="220"/>
      <c r="AS274" s="229"/>
      <c r="AT274" s="231"/>
      <c r="AU274" s="191"/>
      <c r="AV274" s="217"/>
      <c r="AW274" s="218"/>
      <c r="AX274" s="220"/>
      <c r="AY274" s="195"/>
      <c r="AZ274" s="196"/>
      <c r="BA274" s="209"/>
      <c r="BB274" s="201"/>
      <c r="BC274" s="199"/>
      <c r="BD274" s="220" t="str">
        <f t="shared" ca="1" si="117"/>
        <v/>
      </c>
      <c r="BE274" s="195"/>
      <c r="BF274" s="196"/>
      <c r="BG274" s="194"/>
      <c r="BH274" s="201"/>
      <c r="BI274" s="199"/>
      <c r="BJ274" s="197"/>
    </row>
    <row r="275" spans="1:62" x14ac:dyDescent="0.25">
      <c r="A275" s="44"/>
      <c r="B275" s="58"/>
      <c r="C275" s="45"/>
      <c r="D275" s="55"/>
      <c r="E275" s="45"/>
      <c r="F275" s="158"/>
      <c r="G275" s="159"/>
      <c r="H275" s="240" t="s">
        <v>2000</v>
      </c>
      <c r="I275" s="240" t="s">
        <v>2001</v>
      </c>
      <c r="J275" s="243"/>
      <c r="K275" s="241" t="str">
        <f t="shared" si="118"/>
        <v/>
      </c>
      <c r="L275" s="238" t="str">
        <f t="shared" si="119"/>
        <v/>
      </c>
      <c r="M275" s="163"/>
      <c r="N275" s="52"/>
      <c r="O275" s="53"/>
      <c r="P275" s="235">
        <f t="shared" si="120"/>
        <v>0</v>
      </c>
      <c r="Q275" s="236">
        <f t="shared" si="121"/>
        <v>0</v>
      </c>
      <c r="R275" s="236">
        <f t="shared" si="122"/>
        <v>0</v>
      </c>
      <c r="S275" s="236">
        <f t="shared" si="123"/>
        <v>0</v>
      </c>
      <c r="T275" s="236">
        <f t="shared" si="124"/>
        <v>0</v>
      </c>
      <c r="U275" s="237" t="str">
        <f>IF(AA275 = "", "", IF(OR($H275 = PARÂMETROS!$E$5, $H275 = ""), AA275, IF(OR(AA275 &lt; (1-VLOOKUP($H275,PARÂMETROS!$E:$F,2,FALSE))*$P275, AA275 &gt; (1+VLOOKUP($H275,PARÂMETROS!$E:$F,2,FALSE))*$P275),"",AA275)))</f>
        <v/>
      </c>
      <c r="V275" s="237" t="str">
        <f>IF(AG275 = "", "", IF(OR($H275 = PARÂMETROS!$E$5, $H275 = ""), AG275, IF(OR(AG275 &lt; (1-VLOOKUP($H275,PARÂMETROS!$E:$F,2,FALSE))*$P280, AG275 &gt; (1+VLOOKUP($H275,PARÂMETROS!$E:$F,2,FALSE))*$P275),"",AG275)))</f>
        <v/>
      </c>
      <c r="W275" s="237" t="str">
        <f>IF(AM275 = "", "", IF(OR($H275 = PARÂMETROS!$E$5, $H275 = ""), AM275, IF(OR(AM275 &lt; (1-VLOOKUP($H275,PARÂMETROS!$E:$F,2,FALSE))*$P275, AM275 &gt; (1+VLOOKUP($H275,PARÂMETROS!$E:$F,2,FALSE))*$P275),"",AM275)))</f>
        <v/>
      </c>
      <c r="X275" s="237" t="str">
        <f>IF(AS275 = "", "", IF(OR($H275 = PARÂMETROS!$E$5, $H275 = ""), AS275, IF(OR(AS275 &lt; (1-VLOOKUP($H275,PARÂMETROS!$E:$F,2,FALSE))*$P275, AS275 &gt; (1+VLOOKUP($H275,PARÂMETROS!$E:$F,2,FALSE))*$P275),"",AS275)))</f>
        <v/>
      </c>
      <c r="Y275" s="237" t="str">
        <f>IF(AY275 = "", "", IF(OR($H275 = PARÂMETROS!$E$5, $H275 = ""), AY275, IF(OR(AY275 &lt; (1-VLOOKUP($H275,PARÂMETROS!$E:$F,2,FALSE))*$P275, AY275 &gt; (1+VLOOKUP($H275,PARÂMETROS!$E:$F,2,FALSE))*$P275),"",AY275)))</f>
        <v/>
      </c>
      <c r="Z275" s="237" t="str">
        <f>IF(BE275 = "", "", IF(OR($H275 = PARÂMETROS!$E$5, $H275 = ""), BE275, IF(OR(BE275 &lt; (1-VLOOKUP($H275,PARÂMETROS!$E:$F,2,FALSE))*$P275, BE275 &gt; (1+VLOOKUP($H275,PARÂMETROS!$E:$F,2,FALSE))*$P275),"",BE275)))</f>
        <v/>
      </c>
      <c r="AA275" s="207"/>
      <c r="AB275" s="208"/>
      <c r="AC275" s="206"/>
      <c r="AD275" s="217"/>
      <c r="AE275" s="218"/>
      <c r="AF275" s="220"/>
      <c r="AG275" s="229"/>
      <c r="AH275" s="231"/>
      <c r="AI275" s="206"/>
      <c r="AJ275" s="217"/>
      <c r="AK275" s="218"/>
      <c r="AL275" s="220"/>
      <c r="AM275" s="229"/>
      <c r="AN275" s="231"/>
      <c r="AO275" s="206"/>
      <c r="AP275" s="217"/>
      <c r="AQ275" s="218"/>
      <c r="AR275" s="220"/>
      <c r="AS275" s="229"/>
      <c r="AT275" s="231"/>
      <c r="AU275" s="191"/>
      <c r="AV275" s="217"/>
      <c r="AW275" s="218"/>
      <c r="AX275" s="220"/>
      <c r="AY275" s="195"/>
      <c r="AZ275" s="196"/>
      <c r="BA275" s="209"/>
      <c r="BB275" s="201"/>
      <c r="BC275" s="199"/>
      <c r="BD275" s="220" t="str">
        <f t="shared" ca="1" si="117"/>
        <v/>
      </c>
      <c r="BE275" s="195"/>
      <c r="BF275" s="196"/>
      <c r="BG275" s="194"/>
      <c r="BH275" s="201"/>
      <c r="BI275" s="199"/>
      <c r="BJ275" s="197"/>
    </row>
    <row r="276" spans="1:62" x14ac:dyDescent="0.25">
      <c r="A276" s="44"/>
      <c r="B276" s="58"/>
      <c r="C276" s="45"/>
      <c r="D276" s="55"/>
      <c r="E276" s="45"/>
      <c r="F276" s="158"/>
      <c r="G276" s="159"/>
      <c r="H276" s="240" t="s">
        <v>2000</v>
      </c>
      <c r="I276" s="240" t="s">
        <v>2001</v>
      </c>
      <c r="J276" s="243"/>
      <c r="K276" s="241" t="str">
        <f t="shared" si="118"/>
        <v/>
      </c>
      <c r="L276" s="238" t="str">
        <f t="shared" si="119"/>
        <v/>
      </c>
      <c r="M276" s="163"/>
      <c r="N276" s="52"/>
      <c r="O276" s="53"/>
      <c r="P276" s="235">
        <f t="shared" si="120"/>
        <v>0</v>
      </c>
      <c r="Q276" s="236">
        <f t="shared" si="121"/>
        <v>0</v>
      </c>
      <c r="R276" s="236">
        <f t="shared" si="122"/>
        <v>0</v>
      </c>
      <c r="S276" s="236">
        <f t="shared" si="123"/>
        <v>0</v>
      </c>
      <c r="T276" s="236">
        <f t="shared" si="124"/>
        <v>0</v>
      </c>
      <c r="U276" s="237" t="str">
        <f>IF(AA276 = "", "", IF(OR($H276 = PARÂMETROS!$E$5, $H276 = ""), AA276, IF(OR(AA276 &lt; (1-VLOOKUP($H276,PARÂMETROS!$E:$F,2,FALSE))*$P276, AA276 &gt; (1+VLOOKUP($H276,PARÂMETROS!$E:$F,2,FALSE))*$P276),"",AA276)))</f>
        <v/>
      </c>
      <c r="V276" s="237" t="str">
        <f>IF(AG276 = "", "", IF(OR($H276 = PARÂMETROS!$E$5, $H276 = ""), AG276, IF(OR(AG276 &lt; (1-VLOOKUP($H276,PARÂMETROS!$E:$F,2,FALSE))*$P281, AG276 &gt; (1+VLOOKUP($H276,PARÂMETROS!$E:$F,2,FALSE))*$P276),"",AG276)))</f>
        <v/>
      </c>
      <c r="W276" s="237" t="str">
        <f>IF(AM276 = "", "", IF(OR($H276 = PARÂMETROS!$E$5, $H276 = ""), AM276, IF(OR(AM276 &lt; (1-VLOOKUP($H276,PARÂMETROS!$E:$F,2,FALSE))*$P276, AM276 &gt; (1+VLOOKUP($H276,PARÂMETROS!$E:$F,2,FALSE))*$P276),"",AM276)))</f>
        <v/>
      </c>
      <c r="X276" s="237" t="str">
        <f>IF(AS276 = "", "", IF(OR($H276 = PARÂMETROS!$E$5, $H276 = ""), AS276, IF(OR(AS276 &lt; (1-VLOOKUP($H276,PARÂMETROS!$E:$F,2,FALSE))*$P276, AS276 &gt; (1+VLOOKUP($H276,PARÂMETROS!$E:$F,2,FALSE))*$P276),"",AS276)))</f>
        <v/>
      </c>
      <c r="Y276" s="237" t="str">
        <f>IF(AY276 = "", "", IF(OR($H276 = PARÂMETROS!$E$5, $H276 = ""), AY276, IF(OR(AY276 &lt; (1-VLOOKUP($H276,PARÂMETROS!$E:$F,2,FALSE))*$P276, AY276 &gt; (1+VLOOKUP($H276,PARÂMETROS!$E:$F,2,FALSE))*$P276),"",AY276)))</f>
        <v/>
      </c>
      <c r="Z276" s="237" t="str">
        <f>IF(BE276 = "", "", IF(OR($H276 = PARÂMETROS!$E$5, $H276 = ""), BE276, IF(OR(BE276 &lt; (1-VLOOKUP($H276,PARÂMETROS!$E:$F,2,FALSE))*$P276, BE276 &gt; (1+VLOOKUP($H276,PARÂMETROS!$E:$F,2,FALSE))*$P276),"",BE276)))</f>
        <v/>
      </c>
      <c r="AA276" s="207"/>
      <c r="AB276" s="208"/>
      <c r="AC276" s="206"/>
      <c r="AD276" s="217"/>
      <c r="AE276" s="218"/>
      <c r="AF276" s="220"/>
      <c r="AG276" s="229"/>
      <c r="AH276" s="231"/>
      <c r="AI276" s="206"/>
      <c r="AJ276" s="217"/>
      <c r="AK276" s="218"/>
      <c r="AL276" s="220"/>
      <c r="AM276" s="229"/>
      <c r="AN276" s="231"/>
      <c r="AO276" s="206"/>
      <c r="AP276" s="217"/>
      <c r="AQ276" s="218"/>
      <c r="AR276" s="220"/>
      <c r="AS276" s="229"/>
      <c r="AT276" s="231"/>
      <c r="AU276" s="191"/>
      <c r="AV276" s="217"/>
      <c r="AW276" s="218"/>
      <c r="AX276" s="220"/>
      <c r="AY276" s="195"/>
      <c r="AZ276" s="196"/>
      <c r="BA276" s="209"/>
      <c r="BB276" s="201"/>
      <c r="BC276" s="199"/>
      <c r="BD276" s="220" t="str">
        <f t="shared" ca="1" si="117"/>
        <v/>
      </c>
      <c r="BE276" s="195"/>
      <c r="BF276" s="196"/>
      <c r="BG276" s="194"/>
      <c r="BH276" s="201"/>
      <c r="BI276" s="199"/>
      <c r="BJ276" s="197"/>
    </row>
    <row r="277" spans="1:62" x14ac:dyDescent="0.25">
      <c r="A277" s="44"/>
      <c r="B277" s="58"/>
      <c r="C277" s="45"/>
      <c r="D277" s="55"/>
      <c r="E277" s="45"/>
      <c r="F277" s="158"/>
      <c r="G277" s="159"/>
      <c r="H277" s="240" t="s">
        <v>2000</v>
      </c>
      <c r="I277" s="240" t="s">
        <v>2001</v>
      </c>
      <c r="J277" s="243"/>
      <c r="K277" s="241" t="str">
        <f t="shared" si="118"/>
        <v/>
      </c>
      <c r="L277" s="238" t="str">
        <f t="shared" si="119"/>
        <v/>
      </c>
      <c r="M277" s="163"/>
      <c r="N277" s="52"/>
      <c r="O277" s="53"/>
      <c r="P277" s="235">
        <f t="shared" si="120"/>
        <v>0</v>
      </c>
      <c r="Q277" s="236">
        <f t="shared" si="121"/>
        <v>0</v>
      </c>
      <c r="R277" s="236">
        <f t="shared" si="122"/>
        <v>0</v>
      </c>
      <c r="S277" s="236">
        <f t="shared" si="123"/>
        <v>0</v>
      </c>
      <c r="T277" s="236">
        <f t="shared" si="124"/>
        <v>0</v>
      </c>
      <c r="U277" s="237" t="str">
        <f>IF(AA277 = "", "", IF(OR($H277 = PARÂMETROS!$E$5, $H277 = ""), AA277, IF(OR(AA277 &lt; (1-VLOOKUP($H277,PARÂMETROS!$E:$F,2,FALSE))*$P277, AA277 &gt; (1+VLOOKUP($H277,PARÂMETROS!$E:$F,2,FALSE))*$P277),"",AA277)))</f>
        <v/>
      </c>
      <c r="V277" s="237" t="str">
        <f>IF(AG277 = "", "", IF(OR($H277 = PARÂMETROS!$E$5, $H277 = ""), AG277, IF(OR(AG277 &lt; (1-VLOOKUP($H277,PARÂMETROS!$E:$F,2,FALSE))*$P282, AG277 &gt; (1+VLOOKUP($H277,PARÂMETROS!$E:$F,2,FALSE))*$P277),"",AG277)))</f>
        <v/>
      </c>
      <c r="W277" s="237" t="str">
        <f>IF(AM277 = "", "", IF(OR($H277 = PARÂMETROS!$E$5, $H277 = ""), AM277, IF(OR(AM277 &lt; (1-VLOOKUP($H277,PARÂMETROS!$E:$F,2,FALSE))*$P277, AM277 &gt; (1+VLOOKUP($H277,PARÂMETROS!$E:$F,2,FALSE))*$P277),"",AM277)))</f>
        <v/>
      </c>
      <c r="X277" s="237" t="str">
        <f>IF(AS277 = "", "", IF(OR($H277 = PARÂMETROS!$E$5, $H277 = ""), AS277, IF(OR(AS277 &lt; (1-VLOOKUP($H277,PARÂMETROS!$E:$F,2,FALSE))*$P277, AS277 &gt; (1+VLOOKUP($H277,PARÂMETROS!$E:$F,2,FALSE))*$P277),"",AS277)))</f>
        <v/>
      </c>
      <c r="Y277" s="237" t="str">
        <f>IF(AY277 = "", "", IF(OR($H277 = PARÂMETROS!$E$5, $H277 = ""), AY277, IF(OR(AY277 &lt; (1-VLOOKUP($H277,PARÂMETROS!$E:$F,2,FALSE))*$P277, AY277 &gt; (1+VLOOKUP($H277,PARÂMETROS!$E:$F,2,FALSE))*$P277),"",AY277)))</f>
        <v/>
      </c>
      <c r="Z277" s="237" t="str">
        <f>IF(BE277 = "", "", IF(OR($H277 = PARÂMETROS!$E$5, $H277 = ""), BE277, IF(OR(BE277 &lt; (1-VLOOKUP($H277,PARÂMETROS!$E:$F,2,FALSE))*$P277, BE277 &gt; (1+VLOOKUP($H277,PARÂMETROS!$E:$F,2,FALSE))*$P277),"",BE277)))</f>
        <v/>
      </c>
      <c r="AA277" s="207"/>
      <c r="AB277" s="208"/>
      <c r="AC277" s="206"/>
      <c r="AD277" s="217"/>
      <c r="AE277" s="218"/>
      <c r="AF277" s="220"/>
      <c r="AG277" s="229"/>
      <c r="AH277" s="231"/>
      <c r="AI277" s="206"/>
      <c r="AJ277" s="217"/>
      <c r="AK277" s="218"/>
      <c r="AL277" s="220"/>
      <c r="AM277" s="229"/>
      <c r="AN277" s="231"/>
      <c r="AO277" s="206"/>
      <c r="AP277" s="217"/>
      <c r="AQ277" s="218"/>
      <c r="AR277" s="220"/>
      <c r="AS277" s="229"/>
      <c r="AT277" s="231"/>
      <c r="AU277" s="191"/>
      <c r="AV277" s="217"/>
      <c r="AW277" s="218"/>
      <c r="AX277" s="220"/>
      <c r="AY277" s="195"/>
      <c r="AZ277" s="196"/>
      <c r="BA277" s="209"/>
      <c r="BB277" s="201"/>
      <c r="BC277" s="199"/>
      <c r="BD277" s="220" t="str">
        <f t="shared" ca="1" si="117"/>
        <v/>
      </c>
      <c r="BE277" s="195"/>
      <c r="BF277" s="196"/>
      <c r="BG277" s="194"/>
      <c r="BH277" s="201"/>
      <c r="BI277" s="199"/>
      <c r="BJ277" s="197"/>
    </row>
    <row r="278" spans="1:62" x14ac:dyDescent="0.25">
      <c r="A278" s="44"/>
      <c r="B278" s="58"/>
      <c r="C278" s="45"/>
      <c r="D278" s="55"/>
      <c r="E278" s="45"/>
      <c r="F278" s="158"/>
      <c r="G278" s="159"/>
      <c r="H278" s="240" t="s">
        <v>2000</v>
      </c>
      <c r="I278" s="240" t="s">
        <v>2001</v>
      </c>
      <c r="J278" s="243"/>
      <c r="K278" s="241" t="str">
        <f t="shared" si="118"/>
        <v/>
      </c>
      <c r="L278" s="238" t="str">
        <f t="shared" si="119"/>
        <v/>
      </c>
      <c r="M278" s="163"/>
      <c r="N278" s="52"/>
      <c r="O278" s="53"/>
      <c r="P278" s="235">
        <f t="shared" si="120"/>
        <v>0</v>
      </c>
      <c r="Q278" s="236">
        <f t="shared" si="121"/>
        <v>0</v>
      </c>
      <c r="R278" s="236">
        <f t="shared" si="122"/>
        <v>0</v>
      </c>
      <c r="S278" s="236">
        <f t="shared" si="123"/>
        <v>0</v>
      </c>
      <c r="T278" s="236">
        <f t="shared" si="124"/>
        <v>0</v>
      </c>
      <c r="U278" s="237" t="str">
        <f>IF(AA278 = "", "", IF(OR($H278 = PARÂMETROS!$E$5, $H278 = ""), AA278, IF(OR(AA278 &lt; (1-VLOOKUP($H278,PARÂMETROS!$E:$F,2,FALSE))*$P278, AA278 &gt; (1+VLOOKUP($H278,PARÂMETROS!$E:$F,2,FALSE))*$P278),"",AA278)))</f>
        <v/>
      </c>
      <c r="V278" s="237" t="str">
        <f>IF(AG278 = "", "", IF(OR($H278 = PARÂMETROS!$E$5, $H278 = ""), AG278, IF(OR(AG278 &lt; (1-VLOOKUP($H278,PARÂMETROS!$E:$F,2,FALSE))*$P283, AG278 &gt; (1+VLOOKUP($H278,PARÂMETROS!$E:$F,2,FALSE))*$P278),"",AG278)))</f>
        <v/>
      </c>
      <c r="W278" s="237" t="str">
        <f>IF(AM278 = "", "", IF(OR($H278 = PARÂMETROS!$E$5, $H278 = ""), AM278, IF(OR(AM278 &lt; (1-VLOOKUP($H278,PARÂMETROS!$E:$F,2,FALSE))*$P278, AM278 &gt; (1+VLOOKUP($H278,PARÂMETROS!$E:$F,2,FALSE))*$P278),"",AM278)))</f>
        <v/>
      </c>
      <c r="X278" s="237" t="str">
        <f>IF(AS278 = "", "", IF(OR($H278 = PARÂMETROS!$E$5, $H278 = ""), AS278, IF(OR(AS278 &lt; (1-VLOOKUP($H278,PARÂMETROS!$E:$F,2,FALSE))*$P278, AS278 &gt; (1+VLOOKUP($H278,PARÂMETROS!$E:$F,2,FALSE))*$P278),"",AS278)))</f>
        <v/>
      </c>
      <c r="Y278" s="237" t="str">
        <f>IF(AY278 = "", "", IF(OR($H278 = PARÂMETROS!$E$5, $H278 = ""), AY278, IF(OR(AY278 &lt; (1-VLOOKUP($H278,PARÂMETROS!$E:$F,2,FALSE))*$P278, AY278 &gt; (1+VLOOKUP($H278,PARÂMETROS!$E:$F,2,FALSE))*$P278),"",AY278)))</f>
        <v/>
      </c>
      <c r="Z278" s="237" t="str">
        <f>IF(BE278 = "", "", IF(OR($H278 = PARÂMETROS!$E$5, $H278 = ""), BE278, IF(OR(BE278 &lt; (1-VLOOKUP($H278,PARÂMETROS!$E:$F,2,FALSE))*$P278, BE278 &gt; (1+VLOOKUP($H278,PARÂMETROS!$E:$F,2,FALSE))*$P278),"",BE278)))</f>
        <v/>
      </c>
      <c r="AA278" s="207"/>
      <c r="AB278" s="208"/>
      <c r="AC278" s="206"/>
      <c r="AD278" s="217"/>
      <c r="AE278" s="218"/>
      <c r="AF278" s="220"/>
      <c r="AG278" s="229"/>
      <c r="AH278" s="231"/>
      <c r="AI278" s="206"/>
      <c r="AJ278" s="217"/>
      <c r="AK278" s="218"/>
      <c r="AL278" s="220"/>
      <c r="AM278" s="229"/>
      <c r="AN278" s="231"/>
      <c r="AO278" s="206"/>
      <c r="AP278" s="217"/>
      <c r="AQ278" s="218"/>
      <c r="AR278" s="220"/>
      <c r="AS278" s="229"/>
      <c r="AT278" s="231"/>
      <c r="AU278" s="191"/>
      <c r="AV278" s="217"/>
      <c r="AW278" s="218"/>
      <c r="AX278" s="220"/>
      <c r="AY278" s="195"/>
      <c r="AZ278" s="196"/>
      <c r="BA278" s="209"/>
      <c r="BB278" s="201"/>
      <c r="BC278" s="199"/>
      <c r="BD278" s="220" t="str">
        <f t="shared" ca="1" si="117"/>
        <v/>
      </c>
      <c r="BE278" s="195"/>
      <c r="BF278" s="196"/>
      <c r="BG278" s="194"/>
      <c r="BH278" s="201"/>
      <c r="BI278" s="199"/>
      <c r="BJ278" s="197"/>
    </row>
    <row r="279" spans="1:62" x14ac:dyDescent="0.25">
      <c r="U279" s="237" t="str">
        <f>IF(AA279 = "", "", IF(OR($H279 = PARÂMETROS!$E$5, $H279 = ""), AA279, IF(OR(AA279 &lt; (1-VLOOKUP($H279,PARÂMETROS!$E:$F,2,FALSE))*$P279, AA279 &gt; (1+VLOOKUP($H279,PARÂMETROS!$E:$F,2,FALSE))*$P279),"",AA279)))</f>
        <v/>
      </c>
      <c r="V279" s="237" t="str">
        <f>IF(AG279 = "", "", IF(OR($H279 = PARÂMETROS!$E$5, $H279 = ""), AG279, IF(OR(AG279 &lt; (1-VLOOKUP($H279,PARÂMETROS!$E:$F,2,FALSE))*$P284, AG279 &gt; (1+VLOOKUP($H279,PARÂMETROS!$E:$F,2,FALSE))*$P279),"",AG279)))</f>
        <v/>
      </c>
      <c r="W279" s="237" t="str">
        <f>IF(AM279 = "", "", IF(OR($H279 = PARÂMETROS!$E$5, $H279 = ""), AM279, IF(OR(AM279 &lt; (1-VLOOKUP($H279,PARÂMETROS!$E:$F,2,FALSE))*$P279, AM279 &gt; (1+VLOOKUP($H279,PARÂMETROS!$E:$F,2,FALSE))*$P279),"",AM279)))</f>
        <v/>
      </c>
      <c r="X279" s="237" t="str">
        <f>IF(AS279 = "", "", IF(OR($H279 = PARÂMETROS!$E$5, $H279 = ""), AS279, IF(OR(AS279 &lt; (1-VLOOKUP($H279,PARÂMETROS!$E:$F,2,FALSE))*$P279, AS279 &gt; (1+VLOOKUP($H279,PARÂMETROS!$E:$F,2,FALSE))*$P279),"",AS279)))</f>
        <v/>
      </c>
      <c r="Y279" s="237" t="str">
        <f>IF(AY279 = "", "", IF(OR($H279 = PARÂMETROS!$E$5, $H279 = ""), AY279, IF(OR(AY279 &lt; (1-VLOOKUP($H279,PARÂMETROS!$E:$F,2,FALSE))*$P279, AY279 &gt; (1+VLOOKUP($H279,PARÂMETROS!$E:$F,2,FALSE))*$P279),"",AY279)))</f>
        <v/>
      </c>
      <c r="Z279" s="237" t="str">
        <f>IF(BE279 = "", "", IF(OR($H279 = PARÂMETROS!$E$5, $H279 = ""), BE279, IF(OR(BE279 &lt; (1-VLOOKUP($H279,PARÂMETROS!$E:$F,2,FALSE))*$P279, BE279 &gt; (1+VLOOKUP($H279,PARÂMETROS!$E:$F,2,FALSE))*$P279),"",BE279)))</f>
        <v/>
      </c>
      <c r="AD279" s="217"/>
      <c r="AE279" s="218"/>
      <c r="AG279" s="229"/>
      <c r="AH279" s="231"/>
      <c r="AJ279" s="217"/>
      <c r="AK279" s="218"/>
      <c r="AM279" s="229"/>
      <c r="AN279" s="231"/>
      <c r="AP279" s="217"/>
      <c r="AQ279" s="218"/>
      <c r="AS279" s="229"/>
      <c r="AT279" s="231"/>
      <c r="AV279" s="217"/>
      <c r="AW279" s="218"/>
    </row>
    <row r="280" spans="1:62" x14ac:dyDescent="0.25">
      <c r="U280" s="237" t="str">
        <f>IF(AA280 = "", "", IF(OR($H280 = PARÂMETROS!$E$5, $H280 = ""), AA280, IF(OR(AA280 &lt; (1-VLOOKUP($H280,PARÂMETROS!$E:$F,2,FALSE))*$P280, AA280 &gt; (1+VLOOKUP($H280,PARÂMETROS!$E:$F,2,FALSE))*$P280),"",AA280)))</f>
        <v/>
      </c>
      <c r="V280" s="237" t="str">
        <f>IF(AG280 = "", "", IF(OR($H280 = PARÂMETROS!$E$5, $H280 = ""), AG280, IF(OR(AG280 &lt; (1-VLOOKUP($H280,PARÂMETROS!$E:$F,2,FALSE))*$P285, AG280 &gt; (1+VLOOKUP($H280,PARÂMETROS!$E:$F,2,FALSE))*$P280),"",AG280)))</f>
        <v/>
      </c>
      <c r="W280" s="237" t="str">
        <f>IF(AM280 = "", "", IF(OR($H280 = PARÂMETROS!$E$5, $H280 = ""), AM280, IF(OR(AM280 &lt; (1-VLOOKUP($H280,PARÂMETROS!$E:$F,2,FALSE))*$P280, AM280 &gt; (1+VLOOKUP($H280,PARÂMETROS!$E:$F,2,FALSE))*$P280),"",AM280)))</f>
        <v/>
      </c>
      <c r="X280" s="237" t="str">
        <f>IF(AS280 = "", "", IF(OR($H280 = PARÂMETROS!$E$5, $H280 = ""), AS280, IF(OR(AS280 &lt; (1-VLOOKUP($H280,PARÂMETROS!$E:$F,2,FALSE))*$P280, AS280 &gt; (1+VLOOKUP($H280,PARÂMETROS!$E:$F,2,FALSE))*$P280),"",AS280)))</f>
        <v/>
      </c>
      <c r="Y280" s="237" t="str">
        <f>IF(AY280 = "", "", IF(OR($H280 = PARÂMETROS!$E$5, $H280 = ""), AY280, IF(OR(AY280 &lt; (1-VLOOKUP($H280,PARÂMETROS!$E:$F,2,FALSE))*$P280, AY280 &gt; (1+VLOOKUP($H280,PARÂMETROS!$E:$F,2,FALSE))*$P280),"",AY280)))</f>
        <v/>
      </c>
      <c r="Z280" s="237" t="str">
        <f>IF(BE280 = "", "", IF(OR($H280 = PARÂMETROS!$E$5, $H280 = ""), BE280, IF(OR(BE280 &lt; (1-VLOOKUP($H280,PARÂMETROS!$E:$F,2,FALSE))*$P280, BE280 &gt; (1+VLOOKUP($H280,PARÂMETROS!$E:$F,2,FALSE))*$P280),"",BE280)))</f>
        <v/>
      </c>
      <c r="AD280" s="217"/>
      <c r="AE280" s="218"/>
      <c r="AG280" s="229"/>
      <c r="AH280" s="231"/>
      <c r="AJ280" s="217"/>
      <c r="AK280" s="218"/>
      <c r="AM280" s="229"/>
      <c r="AN280" s="231"/>
      <c r="AP280" s="217"/>
      <c r="AQ280" s="218"/>
      <c r="AS280" s="229"/>
      <c r="AT280" s="231"/>
      <c r="AV280" s="217"/>
      <c r="AW280" s="218"/>
    </row>
    <row r="281" spans="1:62" x14ac:dyDescent="0.25">
      <c r="U281" s="237" t="str">
        <f>IF(AA281 = "", "", IF(OR($H281 = PARÂMETROS!$E$5, $H281 = ""), AA281, IF(OR(AA281 &lt; (1-VLOOKUP($H281,PARÂMETROS!$E:$F,2,FALSE))*$P281, AA281 &gt; (1+VLOOKUP($H281,PARÂMETROS!$E:$F,2,FALSE))*$P281),"",AA281)))</f>
        <v/>
      </c>
      <c r="V281" s="237" t="str">
        <f>IF(AG281 = "", "", IF(OR($H281 = PARÂMETROS!$E$5, $H281 = ""), AG281, IF(OR(AG281 &lt; (1-VLOOKUP($H281,PARÂMETROS!$E:$F,2,FALSE))*$P286, AG281 &gt; (1+VLOOKUP($H281,PARÂMETROS!$E:$F,2,FALSE))*$P281),"",AG281)))</f>
        <v/>
      </c>
      <c r="W281" s="237" t="str">
        <f>IF(AM281 = "", "", IF(OR($H281 = PARÂMETROS!$E$5, $H281 = ""), AM281, IF(OR(AM281 &lt; (1-VLOOKUP($H281,PARÂMETROS!$E:$F,2,FALSE))*$P281, AM281 &gt; (1+VLOOKUP($H281,PARÂMETROS!$E:$F,2,FALSE))*$P281),"",AM281)))</f>
        <v/>
      </c>
      <c r="X281" s="237" t="str">
        <f>IF(AS281 = "", "", IF(OR($H281 = PARÂMETROS!$E$5, $H281 = ""), AS281, IF(OR(AS281 &lt; (1-VLOOKUP($H281,PARÂMETROS!$E:$F,2,FALSE))*$P281, AS281 &gt; (1+VLOOKUP($H281,PARÂMETROS!$E:$F,2,FALSE))*$P281),"",AS281)))</f>
        <v/>
      </c>
      <c r="Y281" s="237" t="str">
        <f>IF(AY281 = "", "", IF(OR($H281 = PARÂMETROS!$E$5, $H281 = ""), AY281, IF(OR(AY281 &lt; (1-VLOOKUP($H281,PARÂMETROS!$E:$F,2,FALSE))*$P281, AY281 &gt; (1+VLOOKUP($H281,PARÂMETROS!$E:$F,2,FALSE))*$P281),"",AY281)))</f>
        <v/>
      </c>
      <c r="Z281" s="237" t="str">
        <f>IF(BE281 = "", "", IF(OR($H281 = PARÂMETROS!$E$5, $H281 = ""), BE281, IF(OR(BE281 &lt; (1-VLOOKUP($H281,PARÂMETROS!$E:$F,2,FALSE))*$P281, BE281 &gt; (1+VLOOKUP($H281,PARÂMETROS!$E:$F,2,FALSE))*$P281),"",BE281)))</f>
        <v/>
      </c>
      <c r="AD281" s="217"/>
      <c r="AE281" s="218"/>
      <c r="AG281" s="229"/>
      <c r="AH281" s="231"/>
      <c r="AJ281" s="217"/>
      <c r="AK281" s="218"/>
      <c r="AM281" s="229"/>
      <c r="AN281" s="231"/>
      <c r="AP281" s="217"/>
      <c r="AQ281" s="218"/>
      <c r="AS281" s="229"/>
      <c r="AT281" s="231"/>
      <c r="AV281" s="217"/>
      <c r="AW281" s="218"/>
    </row>
    <row r="282" spans="1:62" x14ac:dyDescent="0.25">
      <c r="AD282" s="217"/>
      <c r="AE282" s="218"/>
      <c r="AG282" s="229"/>
      <c r="AH282" s="231"/>
      <c r="AJ282" s="217"/>
      <c r="AK282" s="218"/>
      <c r="AM282" s="229"/>
      <c r="AN282" s="231"/>
      <c r="AP282" s="217"/>
      <c r="AQ282" s="218"/>
      <c r="AS282" s="229"/>
      <c r="AT282" s="231"/>
      <c r="AV282" s="217"/>
      <c r="AW282" s="218"/>
    </row>
    <row r="283" spans="1:62" x14ac:dyDescent="0.25">
      <c r="AD283" s="217"/>
      <c r="AE283" s="218"/>
      <c r="AG283" s="229"/>
      <c r="AH283" s="231"/>
      <c r="AJ283" s="217"/>
      <c r="AK283" s="218"/>
      <c r="AM283" s="229"/>
      <c r="AN283" s="231"/>
      <c r="AP283" s="217"/>
      <c r="AQ283" s="218"/>
      <c r="AS283" s="229"/>
      <c r="AT283" s="231"/>
      <c r="AV283" s="217"/>
      <c r="AW283" s="218"/>
    </row>
    <row r="284" spans="1:62" x14ac:dyDescent="0.25">
      <c r="AD284" s="217"/>
      <c r="AE284" s="218"/>
      <c r="AG284" s="229"/>
      <c r="AH284" s="231"/>
      <c r="AJ284" s="217"/>
      <c r="AK284" s="218"/>
      <c r="AM284" s="229"/>
      <c r="AN284" s="231"/>
      <c r="AP284" s="217"/>
      <c r="AQ284" s="218"/>
      <c r="AS284" s="229"/>
      <c r="AT284" s="231"/>
      <c r="AV284" s="217"/>
      <c r="AW284" s="218"/>
    </row>
    <row r="285" spans="1:62" x14ac:dyDescent="0.25">
      <c r="AD285" s="217"/>
      <c r="AE285" s="218"/>
      <c r="AG285" s="229"/>
      <c r="AH285" s="231"/>
      <c r="AJ285" s="217"/>
      <c r="AK285" s="218"/>
      <c r="AM285" s="229"/>
      <c r="AN285" s="231"/>
      <c r="AP285" s="217"/>
      <c r="AQ285" s="218"/>
      <c r="AS285" s="229"/>
      <c r="AT285" s="231"/>
      <c r="AV285" s="217"/>
      <c r="AW285" s="218"/>
    </row>
    <row r="286" spans="1:62" x14ac:dyDescent="0.25">
      <c r="AD286" s="217"/>
      <c r="AE286" s="218"/>
      <c r="AG286" s="229"/>
      <c r="AH286" s="231"/>
      <c r="AJ286" s="217"/>
      <c r="AK286" s="218"/>
      <c r="AM286" s="229"/>
      <c r="AN286" s="231"/>
      <c r="AP286" s="217"/>
      <c r="AQ286" s="218"/>
      <c r="AS286" s="229"/>
      <c r="AT286" s="231"/>
      <c r="AV286" s="217"/>
      <c r="AW286" s="218"/>
    </row>
    <row r="287" spans="1:62" x14ac:dyDescent="0.25">
      <c r="AD287" s="217"/>
      <c r="AE287" s="218"/>
      <c r="AG287" s="229"/>
      <c r="AH287" s="231"/>
      <c r="AJ287" s="217"/>
      <c r="AK287" s="218"/>
      <c r="AM287" s="229"/>
      <c r="AN287" s="231"/>
      <c r="AP287" s="217"/>
      <c r="AQ287" s="218"/>
      <c r="AS287" s="229"/>
      <c r="AT287" s="231"/>
      <c r="AV287" s="217"/>
      <c r="AW287" s="218"/>
    </row>
    <row r="288" spans="1:62" x14ac:dyDescent="0.25">
      <c r="AD288" s="217"/>
      <c r="AE288" s="218"/>
      <c r="AG288" s="229"/>
      <c r="AH288" s="231"/>
      <c r="AJ288" s="217"/>
      <c r="AK288" s="218"/>
      <c r="AM288" s="229"/>
      <c r="AN288" s="231"/>
      <c r="AP288" s="217"/>
      <c r="AQ288" s="218"/>
      <c r="AS288" s="229"/>
      <c r="AT288" s="231"/>
      <c r="AV288" s="217"/>
      <c r="AW288" s="218"/>
    </row>
    <row r="289" spans="30:49" x14ac:dyDescent="0.25">
      <c r="AD289" s="217"/>
      <c r="AE289" s="218"/>
      <c r="AG289" s="229"/>
      <c r="AH289" s="231"/>
      <c r="AJ289" s="217"/>
      <c r="AK289" s="218"/>
      <c r="AM289" s="229"/>
      <c r="AN289" s="231"/>
      <c r="AP289" s="217"/>
      <c r="AQ289" s="218"/>
      <c r="AS289" s="229"/>
      <c r="AT289" s="231"/>
      <c r="AV289" s="217"/>
      <c r="AW289" s="218"/>
    </row>
    <row r="290" spans="30:49" x14ac:dyDescent="0.25">
      <c r="AD290" s="217"/>
      <c r="AE290" s="218"/>
      <c r="AG290" s="229"/>
      <c r="AH290" s="231"/>
      <c r="AJ290" s="217"/>
      <c r="AK290" s="218"/>
      <c r="AM290" s="229"/>
      <c r="AN290" s="231"/>
      <c r="AP290" s="217"/>
      <c r="AQ290" s="218"/>
      <c r="AS290" s="229"/>
      <c r="AT290" s="231"/>
      <c r="AV290" s="217"/>
      <c r="AW290" s="218"/>
    </row>
    <row r="291" spans="30:49" x14ac:dyDescent="0.25">
      <c r="AD291" s="217"/>
      <c r="AE291" s="218"/>
      <c r="AG291" s="229"/>
      <c r="AH291" s="231"/>
      <c r="AJ291" s="217"/>
      <c r="AK291" s="218"/>
      <c r="AM291" s="229"/>
      <c r="AN291" s="231"/>
      <c r="AP291" s="217"/>
      <c r="AQ291" s="218"/>
      <c r="AS291" s="229"/>
      <c r="AT291" s="231"/>
      <c r="AV291" s="217"/>
      <c r="AW291" s="218"/>
    </row>
    <row r="292" spans="30:49" x14ac:dyDescent="0.25">
      <c r="AD292" s="217"/>
      <c r="AE292" s="218"/>
      <c r="AG292" s="229"/>
      <c r="AH292" s="231"/>
      <c r="AJ292" s="217"/>
      <c r="AK292" s="218"/>
      <c r="AP292" s="217"/>
      <c r="AQ292" s="218"/>
      <c r="AS292" s="229"/>
      <c r="AT292" s="231"/>
      <c r="AV292" s="217"/>
      <c r="AW292" s="218"/>
    </row>
    <row r="293" spans="30:49" x14ac:dyDescent="0.25">
      <c r="AD293" s="217"/>
      <c r="AE293" s="218"/>
      <c r="AG293" s="229"/>
      <c r="AH293" s="231"/>
      <c r="AJ293" s="217"/>
      <c r="AK293" s="218"/>
      <c r="AP293" s="217"/>
      <c r="AQ293" s="218"/>
      <c r="AS293" s="229"/>
      <c r="AT293" s="231"/>
      <c r="AV293" s="217"/>
      <c r="AW293" s="218"/>
    </row>
    <row r="294" spans="30:49" x14ac:dyDescent="0.25">
      <c r="AD294" s="217"/>
      <c r="AE294" s="218"/>
      <c r="AG294" s="229"/>
      <c r="AH294" s="231"/>
      <c r="AJ294" s="217"/>
      <c r="AK294" s="218"/>
      <c r="AP294" s="217"/>
      <c r="AQ294" s="218"/>
      <c r="AS294" s="229"/>
      <c r="AT294" s="231"/>
      <c r="AV294" s="217"/>
      <c r="AW294" s="218"/>
    </row>
    <row r="295" spans="30:49" x14ac:dyDescent="0.25">
      <c r="AD295" s="217"/>
      <c r="AE295" s="218"/>
      <c r="AG295" s="229"/>
      <c r="AH295" s="231"/>
      <c r="AJ295" s="217"/>
      <c r="AK295" s="218"/>
      <c r="AP295" s="217"/>
      <c r="AQ295" s="218"/>
      <c r="AS295" s="229"/>
      <c r="AT295" s="231"/>
      <c r="AV295" s="217"/>
      <c r="AW295" s="218"/>
    </row>
    <row r="296" spans="30:49" x14ac:dyDescent="0.25">
      <c r="AD296" s="217"/>
      <c r="AE296" s="218"/>
      <c r="AG296" s="229"/>
      <c r="AH296" s="231"/>
      <c r="AJ296" s="217"/>
      <c r="AK296" s="218"/>
      <c r="AP296" s="217"/>
      <c r="AQ296" s="218"/>
      <c r="AS296" s="229"/>
      <c r="AT296" s="231"/>
      <c r="AV296" s="217"/>
      <c r="AW296" s="218"/>
    </row>
    <row r="297" spans="30:49" x14ac:dyDescent="0.25">
      <c r="AD297" s="217"/>
      <c r="AE297" s="218"/>
      <c r="AG297" s="229"/>
      <c r="AH297" s="231"/>
      <c r="AJ297" s="217"/>
      <c r="AK297" s="218"/>
      <c r="AP297" s="217"/>
      <c r="AQ297" s="218"/>
      <c r="AS297" s="229"/>
      <c r="AT297" s="231"/>
      <c r="AV297" s="217"/>
      <c r="AW297" s="218"/>
    </row>
    <row r="298" spans="30:49" x14ac:dyDescent="0.25">
      <c r="AD298" s="217"/>
      <c r="AE298" s="218"/>
      <c r="AG298" s="229"/>
      <c r="AH298" s="231"/>
      <c r="AJ298" s="217"/>
      <c r="AK298" s="218"/>
      <c r="AP298" s="217"/>
      <c r="AQ298" s="218"/>
      <c r="AS298" s="229"/>
      <c r="AT298" s="231"/>
      <c r="AV298" s="217"/>
      <c r="AW298" s="218"/>
    </row>
    <row r="299" spans="30:49" x14ac:dyDescent="0.25">
      <c r="AD299" s="217"/>
      <c r="AE299" s="218"/>
      <c r="AG299" s="229"/>
      <c r="AH299" s="231"/>
      <c r="AJ299" s="217"/>
      <c r="AK299" s="218"/>
      <c r="AP299" s="217"/>
      <c r="AQ299" s="218"/>
      <c r="AS299" s="229"/>
      <c r="AT299" s="231"/>
      <c r="AV299" s="217"/>
      <c r="AW299" s="218"/>
    </row>
    <row r="300" spans="30:49" x14ac:dyDescent="0.25">
      <c r="AD300" s="217"/>
      <c r="AE300" s="218"/>
      <c r="AG300" s="229"/>
      <c r="AH300" s="231"/>
      <c r="AJ300" s="217"/>
      <c r="AK300" s="218"/>
      <c r="AP300" s="217"/>
      <c r="AQ300" s="218"/>
      <c r="AS300" s="229"/>
      <c r="AT300" s="231"/>
      <c r="AV300" s="217"/>
      <c r="AW300" s="218"/>
    </row>
    <row r="301" spans="30:49" x14ac:dyDescent="0.25">
      <c r="AD301" s="217"/>
      <c r="AE301" s="218"/>
      <c r="AG301" s="229"/>
      <c r="AH301" s="231"/>
      <c r="AJ301" s="217"/>
      <c r="AK301" s="218"/>
      <c r="AP301" s="217"/>
      <c r="AQ301" s="218"/>
      <c r="AS301" s="229"/>
      <c r="AT301" s="231"/>
      <c r="AV301" s="217"/>
      <c r="AW301" s="218"/>
    </row>
    <row r="302" spans="30:49" x14ac:dyDescent="0.25">
      <c r="AD302" s="217"/>
      <c r="AE302" s="218"/>
      <c r="AG302" s="229"/>
      <c r="AH302" s="231"/>
      <c r="AJ302" s="217"/>
      <c r="AK302" s="218"/>
      <c r="AP302" s="217"/>
      <c r="AQ302" s="218"/>
      <c r="AS302" s="229"/>
      <c r="AT302" s="231"/>
      <c r="AV302" s="217"/>
      <c r="AW302" s="218"/>
    </row>
    <row r="303" spans="30:49" x14ac:dyDescent="0.25">
      <c r="AD303" s="217"/>
      <c r="AE303" s="218"/>
      <c r="AG303" s="229"/>
      <c r="AH303" s="231"/>
      <c r="AJ303" s="217"/>
      <c r="AK303" s="218"/>
      <c r="AP303" s="217"/>
      <c r="AQ303" s="218"/>
      <c r="AS303" s="229"/>
      <c r="AT303" s="231"/>
      <c r="AV303" s="217"/>
      <c r="AW303" s="218"/>
    </row>
    <row r="304" spans="30:49" x14ac:dyDescent="0.25">
      <c r="AD304" s="217"/>
      <c r="AE304" s="218"/>
      <c r="AG304" s="229"/>
      <c r="AH304" s="231"/>
      <c r="AJ304" s="217"/>
      <c r="AK304" s="218"/>
      <c r="AP304" s="217"/>
      <c r="AQ304" s="218"/>
      <c r="AS304" s="229"/>
      <c r="AT304" s="231"/>
      <c r="AV304" s="217"/>
      <c r="AW304" s="218"/>
    </row>
    <row r="305" spans="30:49" x14ac:dyDescent="0.25">
      <c r="AD305" s="217"/>
      <c r="AE305" s="218"/>
      <c r="AG305" s="229"/>
      <c r="AH305" s="231"/>
      <c r="AJ305" s="217"/>
      <c r="AK305" s="218"/>
      <c r="AP305" s="217"/>
      <c r="AQ305" s="218"/>
      <c r="AS305" s="229"/>
      <c r="AT305" s="231"/>
      <c r="AV305" s="217"/>
      <c r="AW305" s="218"/>
    </row>
    <row r="306" spans="30:49" x14ac:dyDescent="0.25">
      <c r="AD306" s="217"/>
      <c r="AE306" s="218"/>
      <c r="AG306" s="229"/>
      <c r="AH306" s="231"/>
      <c r="AJ306" s="217"/>
      <c r="AK306" s="218"/>
      <c r="AP306" s="217"/>
      <c r="AQ306" s="218"/>
      <c r="AS306" s="229"/>
      <c r="AT306" s="231"/>
      <c r="AV306" s="217"/>
      <c r="AW306" s="218"/>
    </row>
    <row r="307" spans="30:49" x14ac:dyDescent="0.25">
      <c r="AD307" s="217"/>
      <c r="AE307" s="218"/>
      <c r="AG307" s="229"/>
      <c r="AH307" s="231"/>
      <c r="AJ307" s="217"/>
      <c r="AK307" s="218"/>
      <c r="AP307" s="217"/>
      <c r="AQ307" s="218"/>
      <c r="AS307" s="229"/>
      <c r="AT307" s="231"/>
      <c r="AV307" s="217"/>
      <c r="AW307" s="218"/>
    </row>
    <row r="308" spans="30:49" x14ac:dyDescent="0.25">
      <c r="AD308" s="217"/>
      <c r="AE308" s="218"/>
      <c r="AG308" s="229"/>
      <c r="AH308" s="231"/>
      <c r="AJ308" s="217"/>
      <c r="AK308" s="218"/>
      <c r="AP308" s="217"/>
      <c r="AQ308" s="218"/>
      <c r="AS308" s="229"/>
      <c r="AT308" s="231"/>
      <c r="AV308" s="217"/>
      <c r="AW308" s="218"/>
    </row>
    <row r="309" spans="30:49" x14ac:dyDescent="0.25">
      <c r="AD309" s="217"/>
      <c r="AE309" s="218"/>
      <c r="AG309" s="229"/>
      <c r="AH309" s="231"/>
      <c r="AJ309" s="217"/>
      <c r="AK309" s="218"/>
      <c r="AP309" s="217"/>
      <c r="AQ309" s="218"/>
      <c r="AS309" s="229"/>
      <c r="AT309" s="231"/>
      <c r="AV309" s="217"/>
      <c r="AW309" s="218"/>
    </row>
    <row r="310" spans="30:49" x14ac:dyDescent="0.25">
      <c r="AD310" s="217"/>
      <c r="AE310" s="218"/>
      <c r="AG310" s="229"/>
      <c r="AH310" s="231"/>
      <c r="AJ310" s="217"/>
      <c r="AK310" s="218"/>
      <c r="AP310" s="217"/>
      <c r="AQ310" s="218"/>
      <c r="AS310" s="229"/>
      <c r="AT310" s="231"/>
      <c r="AV310" s="217"/>
      <c r="AW310" s="218"/>
    </row>
    <row r="311" spans="30:49" x14ac:dyDescent="0.25">
      <c r="AD311" s="217"/>
      <c r="AE311" s="218"/>
      <c r="AG311" s="229"/>
      <c r="AH311" s="231"/>
      <c r="AJ311" s="217"/>
      <c r="AK311" s="218"/>
      <c r="AP311" s="217"/>
      <c r="AQ311" s="218"/>
      <c r="AS311" s="229"/>
      <c r="AT311" s="231"/>
      <c r="AV311" s="217"/>
      <c r="AW311" s="218"/>
    </row>
    <row r="312" spans="30:49" x14ac:dyDescent="0.25">
      <c r="AD312" s="217"/>
      <c r="AE312" s="218"/>
      <c r="AG312" s="229"/>
      <c r="AH312" s="231"/>
      <c r="AJ312" s="217"/>
      <c r="AK312" s="218"/>
      <c r="AP312" s="217"/>
      <c r="AQ312" s="218"/>
      <c r="AS312" s="229"/>
      <c r="AT312" s="231"/>
      <c r="AV312" s="217"/>
      <c r="AW312" s="218"/>
    </row>
    <row r="313" spans="30:49" x14ac:dyDescent="0.25">
      <c r="AD313" s="217"/>
      <c r="AE313" s="218"/>
      <c r="AG313" s="229"/>
      <c r="AH313" s="231"/>
      <c r="AJ313" s="217"/>
      <c r="AK313" s="218"/>
      <c r="AP313" s="217"/>
      <c r="AQ313" s="218"/>
      <c r="AS313" s="229"/>
      <c r="AT313" s="231"/>
      <c r="AV313" s="217"/>
      <c r="AW313" s="218"/>
    </row>
    <row r="314" spans="30:49" x14ac:dyDescent="0.25">
      <c r="AD314" s="217"/>
      <c r="AE314" s="218"/>
      <c r="AG314" s="229"/>
      <c r="AH314" s="231"/>
      <c r="AJ314" s="217"/>
      <c r="AK314" s="218"/>
      <c r="AP314" s="217"/>
      <c r="AQ314" s="218"/>
      <c r="AS314" s="229"/>
      <c r="AT314" s="231"/>
      <c r="AV314" s="217"/>
      <c r="AW314" s="218"/>
    </row>
    <row r="315" spans="30:49" x14ac:dyDescent="0.25">
      <c r="AD315" s="217"/>
      <c r="AE315" s="218"/>
      <c r="AG315" s="229"/>
      <c r="AH315" s="231"/>
      <c r="AJ315" s="217"/>
      <c r="AK315" s="218"/>
      <c r="AP315" s="217"/>
      <c r="AQ315" s="218"/>
      <c r="AS315" s="229"/>
      <c r="AT315" s="231"/>
      <c r="AV315" s="217"/>
      <c r="AW315" s="218"/>
    </row>
    <row r="316" spans="30:49" x14ac:dyDescent="0.25">
      <c r="AD316" s="217"/>
      <c r="AE316" s="218"/>
      <c r="AG316" s="229"/>
      <c r="AH316" s="231"/>
      <c r="AJ316" s="217"/>
      <c r="AK316" s="218"/>
      <c r="AP316" s="217"/>
      <c r="AQ316" s="218"/>
      <c r="AS316" s="229"/>
      <c r="AT316" s="231"/>
      <c r="AV316" s="217"/>
      <c r="AW316" s="218"/>
    </row>
    <row r="317" spans="30:49" x14ac:dyDescent="0.25">
      <c r="AD317" s="217"/>
      <c r="AE317" s="218"/>
      <c r="AG317" s="229"/>
      <c r="AH317" s="231"/>
      <c r="AJ317" s="217"/>
      <c r="AK317" s="218"/>
      <c r="AP317" s="217"/>
      <c r="AQ317" s="218"/>
      <c r="AS317" s="229"/>
      <c r="AT317" s="231"/>
      <c r="AV317" s="217"/>
      <c r="AW317" s="218"/>
    </row>
    <row r="318" spans="30:49" x14ac:dyDescent="0.25">
      <c r="AD318" s="217"/>
      <c r="AE318" s="218"/>
      <c r="AG318" s="229"/>
      <c r="AH318" s="231"/>
      <c r="AJ318" s="217"/>
      <c r="AK318" s="218"/>
      <c r="AP318" s="217"/>
      <c r="AQ318" s="218"/>
      <c r="AS318" s="229"/>
      <c r="AT318" s="231"/>
      <c r="AV318" s="217"/>
      <c r="AW318" s="218"/>
    </row>
    <row r="319" spans="30:49" x14ac:dyDescent="0.25">
      <c r="AD319" s="217"/>
      <c r="AE319" s="218"/>
      <c r="AG319" s="229"/>
      <c r="AH319" s="231"/>
      <c r="AJ319" s="217"/>
      <c r="AK319" s="218"/>
      <c r="AP319" s="217"/>
      <c r="AQ319" s="218"/>
      <c r="AS319" s="229"/>
      <c r="AT319" s="231"/>
      <c r="AV319" s="217"/>
      <c r="AW319" s="218"/>
    </row>
    <row r="320" spans="30:49" x14ac:dyDescent="0.25">
      <c r="AD320" s="217"/>
      <c r="AE320" s="218"/>
      <c r="AG320" s="229"/>
      <c r="AH320" s="231"/>
      <c r="AJ320" s="217"/>
      <c r="AK320" s="218"/>
      <c r="AP320" s="217"/>
      <c r="AQ320" s="218"/>
      <c r="AS320" s="229"/>
      <c r="AT320" s="231"/>
      <c r="AV320" s="217"/>
      <c r="AW320" s="218"/>
    </row>
    <row r="321" spans="30:49" x14ac:dyDescent="0.25">
      <c r="AD321" s="217"/>
      <c r="AE321" s="218"/>
      <c r="AG321" s="229"/>
      <c r="AH321" s="231"/>
      <c r="AJ321" s="217"/>
      <c r="AK321" s="218"/>
      <c r="AP321" s="217"/>
      <c r="AQ321" s="218"/>
      <c r="AS321" s="229"/>
      <c r="AT321" s="231"/>
      <c r="AV321" s="217"/>
      <c r="AW321" s="218"/>
    </row>
    <row r="322" spans="30:49" x14ac:dyDescent="0.25">
      <c r="AD322" s="217"/>
      <c r="AE322" s="218"/>
      <c r="AG322" s="229"/>
      <c r="AH322" s="231"/>
      <c r="AJ322" s="217"/>
      <c r="AK322" s="218"/>
      <c r="AP322" s="217"/>
      <c r="AQ322" s="218"/>
      <c r="AS322" s="229"/>
      <c r="AT322" s="231"/>
      <c r="AV322" s="217"/>
      <c r="AW322" s="218"/>
    </row>
    <row r="323" spans="30:49" x14ac:dyDescent="0.25">
      <c r="AD323" s="217"/>
      <c r="AE323" s="218"/>
      <c r="AG323" s="229"/>
      <c r="AH323" s="231"/>
      <c r="AJ323" s="217"/>
      <c r="AK323" s="218"/>
      <c r="AP323" s="217"/>
      <c r="AQ323" s="218"/>
      <c r="AS323" s="229"/>
      <c r="AT323" s="231"/>
      <c r="AV323" s="217"/>
      <c r="AW323" s="218"/>
    </row>
    <row r="324" spans="30:49" x14ac:dyDescent="0.25">
      <c r="AD324" s="217"/>
      <c r="AE324" s="218"/>
      <c r="AG324" s="229"/>
      <c r="AH324" s="231"/>
      <c r="AJ324" s="217"/>
      <c r="AK324" s="218"/>
      <c r="AP324" s="217"/>
      <c r="AQ324" s="218"/>
      <c r="AS324" s="229"/>
      <c r="AT324" s="231"/>
      <c r="AV324" s="217"/>
      <c r="AW324" s="218"/>
    </row>
    <row r="325" spans="30:49" x14ac:dyDescent="0.25">
      <c r="AD325" s="217"/>
      <c r="AE325" s="218"/>
      <c r="AG325" s="229"/>
      <c r="AH325" s="231"/>
      <c r="AJ325" s="217"/>
      <c r="AK325" s="218"/>
      <c r="AP325" s="217"/>
      <c r="AQ325" s="218"/>
      <c r="AS325" s="229"/>
      <c r="AT325" s="231"/>
      <c r="AV325" s="217"/>
      <c r="AW325" s="218"/>
    </row>
    <row r="326" spans="30:49" x14ac:dyDescent="0.25">
      <c r="AD326" s="217"/>
      <c r="AE326" s="218"/>
      <c r="AG326" s="229"/>
      <c r="AH326" s="231"/>
      <c r="AJ326" s="217"/>
      <c r="AK326" s="218"/>
      <c r="AP326" s="217"/>
      <c r="AQ326" s="218"/>
      <c r="AS326" s="229"/>
      <c r="AT326" s="231"/>
      <c r="AV326" s="217"/>
      <c r="AW326" s="218"/>
    </row>
    <row r="327" spans="30:49" x14ac:dyDescent="0.25">
      <c r="AD327" s="217"/>
      <c r="AE327" s="218"/>
      <c r="AG327" s="229"/>
      <c r="AH327" s="231"/>
      <c r="AJ327" s="217"/>
      <c r="AK327" s="218"/>
      <c r="AP327" s="217"/>
      <c r="AQ327" s="218"/>
      <c r="AS327" s="229"/>
      <c r="AT327" s="231"/>
      <c r="AV327" s="217"/>
      <c r="AW327" s="218"/>
    </row>
    <row r="328" spans="30:49" x14ac:dyDescent="0.25">
      <c r="AD328" s="217"/>
      <c r="AE328" s="218"/>
      <c r="AG328" s="229"/>
      <c r="AH328" s="231"/>
      <c r="AJ328" s="217"/>
      <c r="AK328" s="218"/>
      <c r="AP328" s="217"/>
      <c r="AQ328" s="218"/>
      <c r="AS328" s="229"/>
      <c r="AT328" s="231"/>
      <c r="AV328" s="217"/>
      <c r="AW328" s="218"/>
    </row>
    <row r="329" spans="30:49" x14ac:dyDescent="0.25">
      <c r="AD329" s="217"/>
      <c r="AE329" s="218"/>
      <c r="AG329" s="229"/>
      <c r="AH329" s="231"/>
      <c r="AJ329" s="217"/>
      <c r="AK329" s="218"/>
      <c r="AP329" s="217"/>
      <c r="AQ329" s="218"/>
      <c r="AS329" s="229"/>
      <c r="AT329" s="231"/>
      <c r="AV329" s="217"/>
      <c r="AW329" s="218"/>
    </row>
    <row r="330" spans="30:49" x14ac:dyDescent="0.25">
      <c r="AD330" s="217"/>
      <c r="AE330" s="218"/>
      <c r="AG330" s="229"/>
      <c r="AH330" s="231"/>
      <c r="AJ330" s="217"/>
      <c r="AK330" s="218"/>
      <c r="AP330" s="217"/>
      <c r="AQ330" s="218"/>
      <c r="AS330" s="229"/>
      <c r="AT330" s="231"/>
      <c r="AV330" s="217"/>
      <c r="AW330" s="218"/>
    </row>
    <row r="331" spans="30:49" x14ac:dyDescent="0.25">
      <c r="AD331" s="217"/>
      <c r="AE331" s="218"/>
      <c r="AG331" s="229"/>
      <c r="AH331" s="231"/>
      <c r="AJ331" s="217"/>
      <c r="AK331" s="218"/>
      <c r="AP331" s="217"/>
      <c r="AQ331" s="218"/>
      <c r="AS331" s="229"/>
      <c r="AT331" s="231"/>
      <c r="AV331" s="217"/>
      <c r="AW331" s="218"/>
    </row>
    <row r="332" spans="30:49" x14ac:dyDescent="0.25">
      <c r="AD332" s="217"/>
      <c r="AE332" s="218"/>
      <c r="AG332" s="229"/>
      <c r="AH332" s="231"/>
      <c r="AJ332" s="217"/>
      <c r="AK332" s="218"/>
      <c r="AP332" s="217"/>
      <c r="AQ332" s="218"/>
      <c r="AS332" s="229"/>
      <c r="AT332" s="231"/>
      <c r="AV332" s="217"/>
      <c r="AW332" s="218"/>
    </row>
    <row r="333" spans="30:49" x14ac:dyDescent="0.25">
      <c r="AD333" s="217"/>
      <c r="AE333" s="218"/>
      <c r="AG333" s="229"/>
      <c r="AH333" s="231"/>
      <c r="AJ333" s="217"/>
      <c r="AK333" s="218"/>
      <c r="AP333" s="217"/>
      <c r="AQ333" s="218"/>
      <c r="AS333" s="229"/>
      <c r="AT333" s="231"/>
      <c r="AV333" s="217"/>
      <c r="AW333" s="218"/>
    </row>
    <row r="334" spans="30:49" x14ac:dyDescent="0.25">
      <c r="AD334" s="217"/>
      <c r="AE334" s="218"/>
      <c r="AJ334" s="217"/>
      <c r="AK334" s="218"/>
      <c r="AP334" s="217"/>
      <c r="AQ334" s="218"/>
      <c r="AS334" s="229"/>
      <c r="AT334" s="231"/>
      <c r="AV334" s="217"/>
      <c r="AW334" s="218"/>
    </row>
    <row r="335" spans="30:49" x14ac:dyDescent="0.25">
      <c r="AD335" s="217"/>
      <c r="AE335" s="218"/>
      <c r="AJ335" s="217"/>
      <c r="AK335" s="218"/>
      <c r="AP335" s="217"/>
      <c r="AQ335" s="218"/>
      <c r="AS335" s="229"/>
      <c r="AT335" s="231"/>
      <c r="AV335" s="217"/>
      <c r="AW335" s="218"/>
    </row>
    <row r="336" spans="30:49" x14ac:dyDescent="0.25">
      <c r="AD336" s="217"/>
      <c r="AE336" s="218"/>
      <c r="AJ336" s="217"/>
      <c r="AK336" s="218"/>
      <c r="AP336" s="217"/>
      <c r="AQ336" s="218"/>
      <c r="AS336" s="229"/>
      <c r="AT336" s="231"/>
      <c r="AV336" s="217"/>
      <c r="AW336" s="218"/>
    </row>
    <row r="337" spans="30:49" x14ac:dyDescent="0.25">
      <c r="AD337" s="217"/>
      <c r="AE337" s="218"/>
      <c r="AJ337" s="217"/>
      <c r="AK337" s="218"/>
      <c r="AP337" s="217"/>
      <c r="AQ337" s="218"/>
      <c r="AS337" s="229"/>
      <c r="AT337" s="231"/>
      <c r="AV337" s="217"/>
      <c r="AW337" s="218"/>
    </row>
    <row r="338" spans="30:49" x14ac:dyDescent="0.25">
      <c r="AD338" s="217"/>
      <c r="AE338" s="218"/>
      <c r="AJ338" s="217"/>
      <c r="AK338" s="218"/>
      <c r="AP338" s="217"/>
      <c r="AQ338" s="218"/>
      <c r="AS338" s="229"/>
      <c r="AT338" s="231"/>
      <c r="AV338" s="217"/>
      <c r="AW338" s="218"/>
    </row>
    <row r="339" spans="30:49" x14ac:dyDescent="0.25">
      <c r="AD339" s="217"/>
      <c r="AE339" s="218"/>
      <c r="AJ339" s="217"/>
      <c r="AK339" s="218"/>
      <c r="AP339" s="217"/>
      <c r="AQ339" s="218"/>
      <c r="AS339" s="229"/>
      <c r="AT339" s="231"/>
      <c r="AV339" s="217"/>
      <c r="AW339" s="218"/>
    </row>
    <row r="340" spans="30:49" x14ac:dyDescent="0.25">
      <c r="AD340" s="217"/>
      <c r="AE340" s="218"/>
      <c r="AJ340" s="217"/>
      <c r="AK340" s="218"/>
      <c r="AP340" s="217"/>
      <c r="AQ340" s="218"/>
      <c r="AS340" s="229"/>
      <c r="AT340" s="231"/>
      <c r="AV340" s="217"/>
      <c r="AW340" s="218"/>
    </row>
    <row r="341" spans="30:49" x14ac:dyDescent="0.25">
      <c r="AD341" s="217"/>
      <c r="AE341" s="218"/>
      <c r="AJ341" s="217"/>
      <c r="AK341" s="218"/>
      <c r="AP341" s="217"/>
      <c r="AQ341" s="218"/>
      <c r="AS341" s="229"/>
      <c r="AT341" s="231"/>
      <c r="AV341" s="217"/>
      <c r="AW341" s="218"/>
    </row>
    <row r="342" spans="30:49" x14ac:dyDescent="0.25">
      <c r="AD342" s="217"/>
      <c r="AE342" s="218"/>
      <c r="AJ342" s="217"/>
      <c r="AK342" s="218"/>
      <c r="AP342" s="217"/>
      <c r="AQ342" s="218"/>
      <c r="AS342" s="229"/>
      <c r="AT342" s="231"/>
      <c r="AV342" s="217"/>
      <c r="AW342" s="218"/>
    </row>
    <row r="343" spans="30:49" x14ac:dyDescent="0.25">
      <c r="AD343" s="217"/>
      <c r="AE343" s="218"/>
      <c r="AJ343" s="217"/>
      <c r="AK343" s="218"/>
      <c r="AP343" s="217"/>
      <c r="AQ343" s="218"/>
      <c r="AS343" s="229"/>
      <c r="AT343" s="231"/>
      <c r="AV343" s="217"/>
      <c r="AW343" s="218"/>
    </row>
    <row r="344" spans="30:49" x14ac:dyDescent="0.25">
      <c r="AD344" s="217"/>
      <c r="AE344" s="218"/>
      <c r="AJ344" s="217"/>
      <c r="AK344" s="218"/>
      <c r="AP344" s="217"/>
      <c r="AQ344" s="218"/>
      <c r="AS344" s="229"/>
      <c r="AT344" s="231"/>
      <c r="AV344" s="217"/>
      <c r="AW344" s="218"/>
    </row>
    <row r="345" spans="30:49" x14ac:dyDescent="0.25">
      <c r="AD345" s="217"/>
      <c r="AE345" s="218"/>
      <c r="AJ345" s="217"/>
      <c r="AK345" s="218"/>
      <c r="AP345" s="217"/>
      <c r="AQ345" s="218"/>
      <c r="AS345" s="229"/>
      <c r="AT345" s="231"/>
      <c r="AV345" s="217"/>
      <c r="AW345" s="218"/>
    </row>
    <row r="346" spans="30:49" x14ac:dyDescent="0.25">
      <c r="AD346" s="217"/>
      <c r="AE346" s="218"/>
      <c r="AJ346" s="217"/>
      <c r="AK346" s="218"/>
      <c r="AP346" s="217"/>
      <c r="AQ346" s="218"/>
      <c r="AS346" s="229"/>
      <c r="AT346" s="231"/>
      <c r="AV346" s="217"/>
      <c r="AW346" s="218"/>
    </row>
    <row r="347" spans="30:49" x14ac:dyDescent="0.25">
      <c r="AD347" s="217"/>
      <c r="AE347" s="218"/>
      <c r="AJ347" s="217"/>
      <c r="AK347" s="218"/>
      <c r="AP347" s="217"/>
      <c r="AQ347" s="218"/>
      <c r="AS347" s="229"/>
      <c r="AT347" s="231"/>
      <c r="AV347" s="217"/>
      <c r="AW347" s="218"/>
    </row>
    <row r="348" spans="30:49" x14ac:dyDescent="0.25">
      <c r="AD348" s="217"/>
      <c r="AE348" s="218"/>
      <c r="AJ348" s="217"/>
      <c r="AK348" s="218"/>
      <c r="AP348" s="217"/>
      <c r="AQ348" s="218"/>
      <c r="AS348" s="229"/>
      <c r="AT348" s="231"/>
      <c r="AV348" s="217"/>
      <c r="AW348" s="218"/>
    </row>
    <row r="349" spans="30:49" x14ac:dyDescent="0.25">
      <c r="AD349" s="217"/>
      <c r="AE349" s="218"/>
      <c r="AJ349" s="217"/>
      <c r="AK349" s="218"/>
      <c r="AP349" s="217"/>
      <c r="AQ349" s="218"/>
      <c r="AS349" s="229"/>
      <c r="AT349" s="231"/>
      <c r="AV349" s="217"/>
      <c r="AW349" s="218"/>
    </row>
    <row r="350" spans="30:49" x14ac:dyDescent="0.25">
      <c r="AD350" s="217"/>
      <c r="AE350" s="218"/>
      <c r="AJ350" s="217"/>
      <c r="AK350" s="218"/>
      <c r="AP350" s="217"/>
      <c r="AQ350" s="218"/>
      <c r="AS350" s="229"/>
      <c r="AT350" s="231"/>
      <c r="AV350" s="217"/>
      <c r="AW350" s="218"/>
    </row>
    <row r="351" spans="30:49" x14ac:dyDescent="0.25">
      <c r="AD351" s="217"/>
      <c r="AE351" s="218"/>
      <c r="AJ351" s="217"/>
      <c r="AK351" s="218"/>
      <c r="AP351" s="217"/>
      <c r="AQ351" s="218"/>
      <c r="AS351" s="229"/>
      <c r="AT351" s="231"/>
      <c r="AV351" s="217"/>
      <c r="AW351" s="218"/>
    </row>
    <row r="352" spans="30:49" x14ac:dyDescent="0.25">
      <c r="AD352" s="217"/>
      <c r="AE352" s="218"/>
      <c r="AJ352" s="217"/>
      <c r="AK352" s="218"/>
      <c r="AP352" s="217"/>
      <c r="AQ352" s="218"/>
      <c r="AS352" s="229"/>
      <c r="AT352" s="231"/>
      <c r="AV352" s="217"/>
      <c r="AW352" s="218"/>
    </row>
    <row r="353" spans="30:49" x14ac:dyDescent="0.25">
      <c r="AD353" s="217"/>
      <c r="AE353" s="218"/>
      <c r="AJ353" s="217"/>
      <c r="AK353" s="218"/>
      <c r="AP353" s="217"/>
      <c r="AQ353" s="218"/>
      <c r="AS353" s="229"/>
      <c r="AT353" s="231"/>
      <c r="AV353" s="217"/>
      <c r="AW353" s="218"/>
    </row>
    <row r="354" spans="30:49" x14ac:dyDescent="0.25">
      <c r="AD354" s="217"/>
      <c r="AE354" s="218"/>
      <c r="AJ354" s="217"/>
      <c r="AK354" s="218"/>
      <c r="AP354" s="217"/>
      <c r="AQ354" s="218"/>
      <c r="AS354" s="229"/>
      <c r="AT354" s="231"/>
      <c r="AV354" s="217"/>
      <c r="AW354" s="218"/>
    </row>
    <row r="355" spans="30:49" x14ac:dyDescent="0.25">
      <c r="AD355" s="217"/>
      <c r="AE355" s="218"/>
      <c r="AJ355" s="217"/>
      <c r="AK355" s="218"/>
      <c r="AP355" s="217"/>
      <c r="AQ355" s="218"/>
      <c r="AS355" s="229"/>
      <c r="AT355" s="231"/>
      <c r="AV355" s="217"/>
      <c r="AW355" s="218"/>
    </row>
    <row r="356" spans="30:49" x14ac:dyDescent="0.25">
      <c r="AD356" s="217"/>
      <c r="AE356" s="218"/>
      <c r="AJ356" s="217"/>
      <c r="AK356" s="218"/>
      <c r="AP356" s="217"/>
      <c r="AQ356" s="218"/>
      <c r="AS356" s="229"/>
      <c r="AT356" s="231"/>
      <c r="AV356" s="217"/>
      <c r="AW356" s="218"/>
    </row>
    <row r="357" spans="30:49" x14ac:dyDescent="0.25">
      <c r="AD357" s="217"/>
      <c r="AE357" s="218"/>
      <c r="AJ357" s="217"/>
      <c r="AK357" s="218"/>
      <c r="AP357" s="217"/>
      <c r="AQ357" s="218"/>
      <c r="AS357" s="229"/>
      <c r="AT357" s="231"/>
      <c r="AV357" s="217"/>
      <c r="AW357" s="218"/>
    </row>
    <row r="358" spans="30:49" x14ac:dyDescent="0.25">
      <c r="AD358" s="217"/>
      <c r="AE358" s="218"/>
      <c r="AJ358" s="217"/>
      <c r="AK358" s="218"/>
      <c r="AP358" s="217"/>
      <c r="AQ358" s="218"/>
      <c r="AS358" s="229"/>
      <c r="AT358" s="231"/>
      <c r="AV358" s="217"/>
      <c r="AW358" s="218"/>
    </row>
    <row r="359" spans="30:49" x14ac:dyDescent="0.25">
      <c r="AD359" s="217"/>
      <c r="AE359" s="218"/>
      <c r="AJ359" s="217"/>
      <c r="AK359" s="218"/>
      <c r="AP359" s="217"/>
      <c r="AQ359" s="218"/>
      <c r="AS359" s="229"/>
      <c r="AT359" s="231"/>
      <c r="AV359" s="217"/>
      <c r="AW359" s="218"/>
    </row>
    <row r="360" spans="30:49" x14ac:dyDescent="0.25">
      <c r="AD360" s="217"/>
      <c r="AE360" s="218"/>
      <c r="AJ360" s="217"/>
      <c r="AK360" s="218"/>
      <c r="AP360" s="217"/>
      <c r="AQ360" s="218"/>
      <c r="AS360" s="229"/>
      <c r="AT360" s="231"/>
      <c r="AV360" s="217"/>
      <c r="AW360" s="218"/>
    </row>
    <row r="361" spans="30:49" x14ac:dyDescent="0.25">
      <c r="AD361" s="217"/>
      <c r="AE361" s="218"/>
      <c r="AJ361" s="217"/>
      <c r="AK361" s="218"/>
      <c r="AP361" s="217"/>
      <c r="AQ361" s="218"/>
      <c r="AS361" s="229"/>
      <c r="AT361" s="231"/>
      <c r="AV361" s="217"/>
      <c r="AW361" s="218"/>
    </row>
    <row r="362" spans="30:49" x14ac:dyDescent="0.25">
      <c r="AD362" s="217"/>
      <c r="AE362" s="218"/>
      <c r="AJ362" s="217"/>
      <c r="AK362" s="218"/>
      <c r="AP362" s="217"/>
      <c r="AQ362" s="218"/>
      <c r="AS362" s="229"/>
      <c r="AT362" s="231"/>
      <c r="AV362" s="217"/>
      <c r="AW362" s="218"/>
    </row>
    <row r="363" spans="30:49" x14ac:dyDescent="0.25">
      <c r="AD363" s="217"/>
      <c r="AE363" s="218"/>
      <c r="AJ363" s="217"/>
      <c r="AK363" s="218"/>
      <c r="AP363" s="217"/>
      <c r="AQ363" s="218"/>
      <c r="AS363" s="229"/>
      <c r="AT363" s="231"/>
      <c r="AV363" s="217"/>
      <c r="AW363" s="218"/>
    </row>
    <row r="364" spans="30:49" x14ac:dyDescent="0.25">
      <c r="AD364" s="217"/>
      <c r="AE364" s="218"/>
      <c r="AJ364" s="217"/>
      <c r="AK364" s="218"/>
      <c r="AP364" s="217"/>
      <c r="AQ364" s="218"/>
      <c r="AS364" s="229"/>
      <c r="AT364" s="231"/>
      <c r="AV364" s="217"/>
      <c r="AW364" s="218"/>
    </row>
    <row r="365" spans="30:49" x14ac:dyDescent="0.25">
      <c r="AD365" s="217"/>
      <c r="AE365" s="218"/>
      <c r="AJ365" s="217"/>
      <c r="AK365" s="218"/>
      <c r="AP365" s="217"/>
      <c r="AQ365" s="218"/>
      <c r="AS365" s="229"/>
      <c r="AT365" s="231"/>
      <c r="AV365" s="217"/>
      <c r="AW365" s="218"/>
    </row>
    <row r="366" spans="30:49" x14ac:dyDescent="0.25">
      <c r="AD366" s="217"/>
      <c r="AE366" s="218"/>
      <c r="AJ366" s="217"/>
      <c r="AK366" s="218"/>
      <c r="AP366" s="217"/>
      <c r="AQ366" s="218"/>
      <c r="AS366" s="229"/>
      <c r="AT366" s="231"/>
      <c r="AV366" s="217"/>
      <c r="AW366" s="218"/>
    </row>
    <row r="367" spans="30:49" x14ac:dyDescent="0.25">
      <c r="AD367" s="217"/>
      <c r="AE367" s="218"/>
      <c r="AJ367" s="217"/>
      <c r="AK367" s="218"/>
      <c r="AP367" s="217"/>
      <c r="AQ367" s="218"/>
      <c r="AS367" s="229"/>
      <c r="AT367" s="231"/>
      <c r="AV367" s="217"/>
      <c r="AW367" s="218"/>
    </row>
    <row r="368" spans="30:49" x14ac:dyDescent="0.25">
      <c r="AD368" s="217"/>
      <c r="AE368" s="218"/>
      <c r="AJ368" s="217"/>
      <c r="AK368" s="218"/>
      <c r="AP368" s="217"/>
      <c r="AQ368" s="218"/>
      <c r="AS368" s="229"/>
      <c r="AT368" s="231"/>
      <c r="AV368" s="217"/>
      <c r="AW368" s="218"/>
    </row>
    <row r="369" spans="30:49" x14ac:dyDescent="0.25">
      <c r="AD369" s="217"/>
      <c r="AE369" s="218"/>
      <c r="AJ369" s="217"/>
      <c r="AK369" s="218"/>
      <c r="AP369" s="217"/>
      <c r="AQ369" s="218"/>
      <c r="AS369" s="229"/>
      <c r="AT369" s="231"/>
      <c r="AV369" s="217"/>
      <c r="AW369" s="218"/>
    </row>
    <row r="370" spans="30:49" x14ac:dyDescent="0.25">
      <c r="AD370" s="217"/>
      <c r="AE370" s="218"/>
      <c r="AJ370" s="217"/>
      <c r="AK370" s="218"/>
      <c r="AP370" s="217"/>
      <c r="AQ370" s="218"/>
      <c r="AS370" s="229"/>
      <c r="AT370" s="231"/>
      <c r="AV370" s="217"/>
      <c r="AW370" s="218"/>
    </row>
    <row r="371" spans="30:49" x14ac:dyDescent="0.25">
      <c r="AD371" s="217"/>
      <c r="AE371" s="218"/>
      <c r="AJ371" s="217"/>
      <c r="AK371" s="218"/>
      <c r="AP371" s="217"/>
      <c r="AQ371" s="218"/>
      <c r="AS371" s="229"/>
      <c r="AT371" s="231"/>
      <c r="AV371" s="217"/>
      <c r="AW371" s="218"/>
    </row>
    <row r="372" spans="30:49" x14ac:dyDescent="0.25">
      <c r="AD372" s="217"/>
      <c r="AE372" s="218"/>
      <c r="AJ372" s="217"/>
      <c r="AK372" s="218"/>
      <c r="AP372" s="217"/>
      <c r="AQ372" s="218"/>
      <c r="AS372" s="229"/>
      <c r="AT372" s="231"/>
      <c r="AV372" s="217"/>
      <c r="AW372" s="218"/>
    </row>
    <row r="373" spans="30:49" x14ac:dyDescent="0.25">
      <c r="AD373" s="217"/>
      <c r="AE373" s="218"/>
      <c r="AJ373" s="217"/>
      <c r="AK373" s="218"/>
      <c r="AP373" s="217"/>
      <c r="AQ373" s="218"/>
      <c r="AS373" s="229"/>
      <c r="AT373" s="231"/>
      <c r="AV373" s="217"/>
      <c r="AW373" s="218"/>
    </row>
    <row r="374" spans="30:49" x14ac:dyDescent="0.25">
      <c r="AD374" s="217"/>
      <c r="AE374" s="218"/>
      <c r="AJ374" s="217"/>
      <c r="AK374" s="218"/>
      <c r="AP374" s="217"/>
      <c r="AQ374" s="218"/>
      <c r="AS374" s="229"/>
      <c r="AT374" s="231"/>
      <c r="AV374" s="217"/>
      <c r="AW374" s="218"/>
    </row>
    <row r="375" spans="30:49" x14ac:dyDescent="0.25">
      <c r="AD375" s="217"/>
      <c r="AE375" s="218"/>
      <c r="AJ375" s="217"/>
      <c r="AK375" s="218"/>
      <c r="AP375" s="217"/>
      <c r="AQ375" s="218"/>
      <c r="AS375" s="229"/>
      <c r="AT375" s="231"/>
      <c r="AV375" s="217"/>
      <c r="AW375" s="218"/>
    </row>
    <row r="376" spans="30:49" x14ac:dyDescent="0.25">
      <c r="AD376" s="217"/>
      <c r="AE376" s="218"/>
      <c r="AJ376" s="217"/>
      <c r="AK376" s="218"/>
      <c r="AP376" s="217"/>
      <c r="AQ376" s="218"/>
      <c r="AS376" s="229"/>
      <c r="AT376" s="231"/>
      <c r="AV376" s="217"/>
      <c r="AW376" s="218"/>
    </row>
    <row r="377" spans="30:49" x14ac:dyDescent="0.25">
      <c r="AD377" s="217"/>
      <c r="AE377" s="218"/>
      <c r="AJ377" s="217"/>
      <c r="AK377" s="218"/>
      <c r="AP377" s="217"/>
      <c r="AQ377" s="218"/>
      <c r="AS377" s="229"/>
      <c r="AT377" s="231"/>
      <c r="AV377" s="217"/>
      <c r="AW377" s="218"/>
    </row>
    <row r="378" spans="30:49" x14ac:dyDescent="0.25">
      <c r="AD378" s="217"/>
      <c r="AE378" s="218"/>
      <c r="AJ378" s="217"/>
      <c r="AK378" s="218"/>
      <c r="AP378" s="217"/>
      <c r="AQ378" s="218"/>
      <c r="AS378" s="229"/>
      <c r="AT378" s="231"/>
      <c r="AV378" s="217"/>
      <c r="AW378" s="218"/>
    </row>
    <row r="379" spans="30:49" x14ac:dyDescent="0.25">
      <c r="AD379" s="217"/>
      <c r="AE379" s="218"/>
      <c r="AJ379" s="217"/>
      <c r="AK379" s="218"/>
      <c r="AP379" s="217"/>
      <c r="AQ379" s="218"/>
      <c r="AS379" s="229"/>
      <c r="AT379" s="231"/>
      <c r="AV379" s="217"/>
      <c r="AW379" s="218"/>
    </row>
    <row r="380" spans="30:49" x14ac:dyDescent="0.25">
      <c r="AD380" s="217"/>
      <c r="AE380" s="218"/>
      <c r="AJ380" s="217"/>
      <c r="AK380" s="218"/>
      <c r="AP380" s="217"/>
      <c r="AQ380" s="218"/>
      <c r="AS380" s="229"/>
      <c r="AT380" s="231"/>
      <c r="AV380" s="217"/>
      <c r="AW380" s="218"/>
    </row>
    <row r="381" spans="30:49" x14ac:dyDescent="0.25">
      <c r="AD381" s="217"/>
      <c r="AE381" s="218"/>
      <c r="AJ381" s="217"/>
      <c r="AK381" s="218"/>
      <c r="AP381" s="217"/>
      <c r="AQ381" s="218"/>
      <c r="AS381" s="229"/>
      <c r="AT381" s="231"/>
      <c r="AV381" s="217"/>
      <c r="AW381" s="218"/>
    </row>
    <row r="382" spans="30:49" x14ac:dyDescent="0.25">
      <c r="AD382" s="217"/>
      <c r="AE382" s="218"/>
      <c r="AJ382" s="217"/>
      <c r="AK382" s="218"/>
      <c r="AP382" s="217"/>
      <c r="AQ382" s="218"/>
      <c r="AS382" s="229"/>
      <c r="AT382" s="231"/>
      <c r="AV382" s="217"/>
      <c r="AW382" s="218"/>
    </row>
    <row r="383" spans="30:49" x14ac:dyDescent="0.25">
      <c r="AD383" s="217"/>
      <c r="AE383" s="218"/>
      <c r="AJ383" s="217"/>
      <c r="AK383" s="218"/>
      <c r="AP383" s="217"/>
      <c r="AQ383" s="218"/>
      <c r="AS383" s="229"/>
      <c r="AT383" s="231"/>
      <c r="AV383" s="217"/>
      <c r="AW383" s="218"/>
    </row>
    <row r="384" spans="30:49" x14ac:dyDescent="0.25">
      <c r="AD384" s="217"/>
      <c r="AE384" s="218"/>
      <c r="AJ384" s="217"/>
      <c r="AK384" s="218"/>
      <c r="AP384" s="217"/>
      <c r="AQ384" s="218"/>
      <c r="AS384" s="229"/>
      <c r="AT384" s="231"/>
      <c r="AV384" s="217"/>
      <c r="AW384" s="218"/>
    </row>
    <row r="385" spans="30:49" x14ac:dyDescent="0.25">
      <c r="AD385" s="217"/>
      <c r="AE385" s="218"/>
      <c r="AJ385" s="217"/>
      <c r="AK385" s="218"/>
      <c r="AP385" s="217"/>
      <c r="AQ385" s="218"/>
      <c r="AS385" s="229"/>
      <c r="AT385" s="231"/>
      <c r="AV385" s="217"/>
      <c r="AW385" s="218"/>
    </row>
    <row r="386" spans="30:49" x14ac:dyDescent="0.25">
      <c r="AD386" s="217"/>
      <c r="AE386" s="218"/>
      <c r="AJ386" s="217"/>
      <c r="AK386" s="218"/>
      <c r="AP386" s="217"/>
      <c r="AQ386" s="218"/>
      <c r="AS386" s="229"/>
      <c r="AT386" s="231"/>
      <c r="AV386" s="217"/>
      <c r="AW386" s="218"/>
    </row>
    <row r="387" spans="30:49" x14ac:dyDescent="0.25">
      <c r="AD387" s="217"/>
      <c r="AE387" s="218"/>
      <c r="AJ387" s="217"/>
      <c r="AK387" s="218"/>
      <c r="AP387" s="217"/>
      <c r="AQ387" s="218"/>
      <c r="AS387" s="229"/>
      <c r="AT387" s="231"/>
      <c r="AV387" s="217"/>
      <c r="AW387" s="218"/>
    </row>
    <row r="388" spans="30:49" x14ac:dyDescent="0.25">
      <c r="AD388" s="217"/>
      <c r="AE388" s="218"/>
      <c r="AJ388" s="217"/>
      <c r="AK388" s="218"/>
      <c r="AP388" s="217"/>
      <c r="AQ388" s="218"/>
      <c r="AS388" s="229"/>
      <c r="AT388" s="231"/>
      <c r="AV388" s="217"/>
      <c r="AW388" s="218"/>
    </row>
    <row r="389" spans="30:49" x14ac:dyDescent="0.25">
      <c r="AD389" s="217"/>
      <c r="AE389" s="218"/>
      <c r="AJ389" s="217"/>
      <c r="AK389" s="218"/>
      <c r="AP389" s="217"/>
      <c r="AQ389" s="218"/>
      <c r="AS389" s="229"/>
      <c r="AT389" s="231"/>
      <c r="AV389" s="217"/>
      <c r="AW389" s="218"/>
    </row>
    <row r="390" spans="30:49" x14ac:dyDescent="0.25">
      <c r="AD390" s="217"/>
      <c r="AE390" s="218"/>
      <c r="AJ390" s="217"/>
      <c r="AK390" s="218"/>
      <c r="AP390" s="217"/>
      <c r="AQ390" s="218"/>
      <c r="AS390" s="229"/>
      <c r="AT390" s="231"/>
      <c r="AV390" s="217"/>
      <c r="AW390" s="218"/>
    </row>
    <row r="391" spans="30:49" x14ac:dyDescent="0.25">
      <c r="AD391" s="217"/>
      <c r="AE391" s="218"/>
      <c r="AJ391" s="217"/>
      <c r="AK391" s="218"/>
      <c r="AP391" s="217"/>
      <c r="AQ391" s="218"/>
      <c r="AS391" s="229"/>
      <c r="AT391" s="231"/>
      <c r="AV391" s="217"/>
      <c r="AW391" s="218"/>
    </row>
    <row r="392" spans="30:49" x14ac:dyDescent="0.25">
      <c r="AD392" s="217"/>
      <c r="AE392" s="218"/>
      <c r="AJ392" s="217"/>
      <c r="AK392" s="218"/>
      <c r="AP392" s="217"/>
      <c r="AQ392" s="218"/>
      <c r="AS392" s="229"/>
      <c r="AT392" s="231"/>
      <c r="AV392" s="217"/>
      <c r="AW392" s="218"/>
    </row>
    <row r="393" spans="30:49" x14ac:dyDescent="0.25">
      <c r="AD393" s="217"/>
      <c r="AE393" s="218"/>
      <c r="AJ393" s="217"/>
      <c r="AK393" s="218"/>
      <c r="AP393" s="217"/>
      <c r="AQ393" s="218"/>
      <c r="AS393" s="229"/>
      <c r="AT393" s="231"/>
      <c r="AV393" s="217"/>
      <c r="AW393" s="218"/>
    </row>
    <row r="394" spans="30:49" x14ac:dyDescent="0.25">
      <c r="AD394" s="217"/>
      <c r="AE394" s="218"/>
      <c r="AJ394" s="217"/>
      <c r="AK394" s="218"/>
      <c r="AP394" s="217"/>
      <c r="AQ394" s="218"/>
      <c r="AS394" s="229"/>
      <c r="AT394" s="231"/>
      <c r="AV394" s="217"/>
      <c r="AW394" s="218"/>
    </row>
    <row r="395" spans="30:49" x14ac:dyDescent="0.25">
      <c r="AD395" s="217"/>
      <c r="AE395" s="218"/>
      <c r="AJ395" s="217"/>
      <c r="AK395" s="218"/>
      <c r="AP395" s="217"/>
      <c r="AQ395" s="218"/>
      <c r="AS395" s="229"/>
      <c r="AT395" s="231"/>
      <c r="AV395" s="217"/>
      <c r="AW395" s="218"/>
    </row>
    <row r="396" spans="30:49" x14ac:dyDescent="0.25">
      <c r="AD396" s="217"/>
      <c r="AE396" s="218"/>
      <c r="AJ396" s="217"/>
      <c r="AK396" s="218"/>
      <c r="AP396" s="217"/>
      <c r="AQ396" s="218"/>
      <c r="AS396" s="229"/>
      <c r="AT396" s="231"/>
      <c r="AV396" s="217"/>
      <c r="AW396" s="218"/>
    </row>
    <row r="397" spans="30:49" x14ac:dyDescent="0.25">
      <c r="AD397" s="217"/>
      <c r="AE397" s="218"/>
      <c r="AJ397" s="217"/>
      <c r="AK397" s="218"/>
      <c r="AP397" s="217"/>
      <c r="AQ397" s="218"/>
      <c r="AS397" s="229"/>
      <c r="AT397" s="231"/>
      <c r="AV397" s="217"/>
      <c r="AW397" s="218"/>
    </row>
    <row r="398" spans="30:49" x14ac:dyDescent="0.25">
      <c r="AD398" s="217"/>
      <c r="AE398" s="218"/>
      <c r="AJ398" s="217"/>
      <c r="AK398" s="218"/>
      <c r="AP398" s="217"/>
      <c r="AQ398" s="218"/>
      <c r="AS398" s="229"/>
      <c r="AT398" s="231"/>
      <c r="AV398" s="217"/>
      <c r="AW398" s="218"/>
    </row>
    <row r="399" spans="30:49" x14ac:dyDescent="0.25">
      <c r="AD399" s="217"/>
      <c r="AE399" s="218"/>
      <c r="AJ399" s="217"/>
      <c r="AK399" s="218"/>
      <c r="AP399" s="217"/>
      <c r="AQ399" s="218"/>
      <c r="AS399" s="229"/>
      <c r="AT399" s="231"/>
      <c r="AV399" s="217"/>
      <c r="AW399" s="218"/>
    </row>
    <row r="400" spans="30:49" x14ac:dyDescent="0.25">
      <c r="AD400" s="217"/>
      <c r="AE400" s="218"/>
      <c r="AJ400" s="217"/>
      <c r="AK400" s="218"/>
      <c r="AP400" s="217"/>
      <c r="AQ400" s="218"/>
      <c r="AS400" s="229"/>
      <c r="AT400" s="231"/>
      <c r="AV400" s="217"/>
      <c r="AW400" s="218"/>
    </row>
    <row r="401" spans="30:49" x14ac:dyDescent="0.25">
      <c r="AD401" s="217"/>
      <c r="AE401" s="218"/>
      <c r="AJ401" s="217"/>
      <c r="AK401" s="218"/>
      <c r="AP401" s="217"/>
      <c r="AQ401" s="218"/>
      <c r="AS401" s="229"/>
      <c r="AT401" s="231"/>
      <c r="AV401" s="217"/>
      <c r="AW401" s="218"/>
    </row>
    <row r="402" spans="30:49" x14ac:dyDescent="0.25">
      <c r="AD402" s="217"/>
      <c r="AE402" s="218"/>
      <c r="AJ402" s="217"/>
      <c r="AK402" s="218"/>
      <c r="AP402" s="217"/>
      <c r="AQ402" s="218"/>
      <c r="AS402" s="229"/>
      <c r="AT402" s="231"/>
      <c r="AV402" s="217"/>
      <c r="AW402" s="218"/>
    </row>
    <row r="403" spans="30:49" x14ac:dyDescent="0.25">
      <c r="AD403" s="217"/>
      <c r="AE403" s="218"/>
      <c r="AJ403" s="217"/>
      <c r="AK403" s="218"/>
      <c r="AP403" s="217"/>
      <c r="AQ403" s="218"/>
      <c r="AS403" s="229"/>
      <c r="AT403" s="231"/>
      <c r="AV403" s="217"/>
      <c r="AW403" s="218"/>
    </row>
    <row r="404" spans="30:49" x14ac:dyDescent="0.25">
      <c r="AD404" s="217"/>
      <c r="AE404" s="218"/>
      <c r="AJ404" s="217"/>
      <c r="AK404" s="218"/>
      <c r="AP404" s="217"/>
      <c r="AQ404" s="218"/>
      <c r="AS404" s="229"/>
      <c r="AT404" s="231"/>
      <c r="AV404" s="217"/>
      <c r="AW404" s="218"/>
    </row>
    <row r="405" spans="30:49" x14ac:dyDescent="0.25">
      <c r="AD405" s="217"/>
      <c r="AE405" s="218"/>
      <c r="AJ405" s="217"/>
      <c r="AK405" s="218"/>
      <c r="AP405" s="217"/>
      <c r="AQ405" s="218"/>
      <c r="AS405" s="229"/>
      <c r="AT405" s="231"/>
      <c r="AV405" s="217"/>
      <c r="AW405" s="218"/>
    </row>
    <row r="406" spans="30:49" x14ac:dyDescent="0.25">
      <c r="AD406" s="217"/>
      <c r="AE406" s="218"/>
      <c r="AJ406" s="217"/>
      <c r="AK406" s="218"/>
      <c r="AP406" s="217"/>
      <c r="AQ406" s="218"/>
      <c r="AS406" s="229"/>
      <c r="AT406" s="231"/>
      <c r="AV406" s="217"/>
      <c r="AW406" s="218"/>
    </row>
    <row r="407" spans="30:49" x14ac:dyDescent="0.25">
      <c r="AD407" s="217"/>
      <c r="AE407" s="218"/>
      <c r="AJ407" s="217"/>
      <c r="AK407" s="218"/>
      <c r="AP407" s="217"/>
      <c r="AQ407" s="218"/>
      <c r="AS407" s="229"/>
      <c r="AT407" s="231"/>
      <c r="AV407" s="217"/>
      <c r="AW407" s="218"/>
    </row>
    <row r="408" spans="30:49" x14ac:dyDescent="0.25">
      <c r="AD408" s="217"/>
      <c r="AE408" s="218"/>
      <c r="AJ408" s="217"/>
      <c r="AK408" s="218"/>
      <c r="AP408" s="217"/>
      <c r="AQ408" s="218"/>
      <c r="AS408" s="229"/>
      <c r="AT408" s="231"/>
      <c r="AV408" s="217"/>
      <c r="AW408" s="218"/>
    </row>
    <row r="409" spans="30:49" x14ac:dyDescent="0.25">
      <c r="AD409" s="217"/>
      <c r="AE409" s="218"/>
      <c r="AJ409" s="217"/>
      <c r="AK409" s="218"/>
      <c r="AP409" s="217"/>
      <c r="AQ409" s="218"/>
      <c r="AS409" s="229"/>
      <c r="AT409" s="231"/>
      <c r="AV409" s="217"/>
      <c r="AW409" s="218"/>
    </row>
    <row r="410" spans="30:49" x14ac:dyDescent="0.25">
      <c r="AD410" s="217"/>
      <c r="AE410" s="218"/>
      <c r="AJ410" s="217"/>
      <c r="AK410" s="218"/>
      <c r="AP410" s="217"/>
      <c r="AQ410" s="218"/>
      <c r="AS410" s="229"/>
      <c r="AT410" s="231"/>
      <c r="AV410" s="217"/>
      <c r="AW410" s="218"/>
    </row>
    <row r="411" spans="30:49" x14ac:dyDescent="0.25">
      <c r="AD411" s="217"/>
      <c r="AE411" s="218"/>
      <c r="AJ411" s="217"/>
      <c r="AK411" s="218"/>
      <c r="AP411" s="217"/>
      <c r="AQ411" s="218"/>
      <c r="AS411" s="229"/>
      <c r="AT411" s="231"/>
      <c r="AV411" s="217"/>
      <c r="AW411" s="218"/>
    </row>
    <row r="412" spans="30:49" x14ac:dyDescent="0.25">
      <c r="AD412" s="217"/>
      <c r="AE412" s="218"/>
      <c r="AJ412" s="217"/>
      <c r="AK412" s="218"/>
      <c r="AP412" s="217"/>
      <c r="AQ412" s="218"/>
      <c r="AS412" s="229"/>
      <c r="AT412" s="231"/>
      <c r="AV412" s="217"/>
      <c r="AW412" s="218"/>
    </row>
    <row r="413" spans="30:49" x14ac:dyDescent="0.25">
      <c r="AD413" s="217"/>
      <c r="AE413" s="218"/>
      <c r="AJ413" s="217"/>
      <c r="AK413" s="218"/>
      <c r="AP413" s="217"/>
      <c r="AQ413" s="218"/>
      <c r="AS413" s="229"/>
      <c r="AT413" s="231"/>
      <c r="AV413" s="217"/>
      <c r="AW413" s="218"/>
    </row>
    <row r="414" spans="30:49" x14ac:dyDescent="0.25">
      <c r="AD414" s="217"/>
      <c r="AE414" s="218"/>
      <c r="AJ414" s="217"/>
      <c r="AK414" s="218"/>
      <c r="AP414" s="217"/>
      <c r="AQ414" s="218"/>
      <c r="AS414" s="229"/>
      <c r="AT414" s="231"/>
      <c r="AV414" s="217"/>
      <c r="AW414" s="218"/>
    </row>
    <row r="415" spans="30:49" x14ac:dyDescent="0.25">
      <c r="AD415" s="217"/>
      <c r="AE415" s="218"/>
      <c r="AJ415" s="217"/>
      <c r="AK415" s="218"/>
      <c r="AP415" s="217"/>
      <c r="AQ415" s="218"/>
      <c r="AS415" s="229"/>
      <c r="AT415" s="231"/>
      <c r="AV415" s="217"/>
      <c r="AW415" s="218"/>
    </row>
    <row r="416" spans="30:49" x14ac:dyDescent="0.25">
      <c r="AD416" s="217"/>
      <c r="AE416" s="218"/>
      <c r="AJ416" s="217"/>
      <c r="AK416" s="218"/>
      <c r="AP416" s="217"/>
      <c r="AQ416" s="218"/>
      <c r="AS416" s="229"/>
      <c r="AT416" s="231"/>
      <c r="AV416" s="217"/>
      <c r="AW416" s="218"/>
    </row>
    <row r="417" spans="30:49" x14ac:dyDescent="0.25">
      <c r="AD417" s="217"/>
      <c r="AE417" s="218"/>
      <c r="AJ417" s="217"/>
      <c r="AK417" s="218"/>
      <c r="AP417" s="217"/>
      <c r="AQ417" s="218"/>
      <c r="AS417" s="229"/>
      <c r="AT417" s="231"/>
      <c r="AV417" s="217"/>
      <c r="AW417" s="218"/>
    </row>
    <row r="418" spans="30:49" x14ac:dyDescent="0.25">
      <c r="AD418" s="217"/>
      <c r="AE418" s="218"/>
      <c r="AJ418" s="217"/>
      <c r="AK418" s="218"/>
      <c r="AP418" s="217"/>
      <c r="AQ418" s="218"/>
      <c r="AS418" s="229"/>
      <c r="AT418" s="231"/>
      <c r="AV418" s="217"/>
      <c r="AW418" s="218"/>
    </row>
    <row r="419" spans="30:49" x14ac:dyDescent="0.25">
      <c r="AD419" s="217"/>
      <c r="AE419" s="218"/>
      <c r="AJ419" s="217"/>
      <c r="AK419" s="218"/>
      <c r="AP419" s="217"/>
      <c r="AQ419" s="218"/>
      <c r="AS419" s="229"/>
      <c r="AT419" s="231"/>
      <c r="AV419" s="217"/>
      <c r="AW419" s="218"/>
    </row>
    <row r="420" spans="30:49" x14ac:dyDescent="0.25">
      <c r="AD420" s="217"/>
      <c r="AE420" s="218"/>
      <c r="AJ420" s="217"/>
      <c r="AK420" s="218"/>
      <c r="AP420" s="217"/>
      <c r="AQ420" s="218"/>
      <c r="AS420" s="229"/>
      <c r="AT420" s="231"/>
      <c r="AV420" s="217"/>
      <c r="AW420" s="218"/>
    </row>
    <row r="421" spans="30:49" x14ac:dyDescent="0.25">
      <c r="AD421" s="217"/>
      <c r="AE421" s="218"/>
      <c r="AJ421" s="217"/>
      <c r="AK421" s="218"/>
      <c r="AP421" s="217"/>
      <c r="AQ421" s="218"/>
      <c r="AS421" s="229"/>
      <c r="AT421" s="231"/>
      <c r="AV421" s="217"/>
      <c r="AW421" s="218"/>
    </row>
    <row r="422" spans="30:49" x14ac:dyDescent="0.25">
      <c r="AD422" s="217"/>
      <c r="AE422" s="218"/>
      <c r="AJ422" s="217"/>
      <c r="AK422" s="218"/>
      <c r="AP422" s="217"/>
      <c r="AQ422" s="218"/>
      <c r="AS422" s="229"/>
      <c r="AT422" s="231"/>
      <c r="AV422" s="217"/>
      <c r="AW422" s="218"/>
    </row>
    <row r="423" spans="30:49" x14ac:dyDescent="0.25">
      <c r="AD423" s="217"/>
      <c r="AE423" s="218"/>
      <c r="AJ423" s="217"/>
      <c r="AK423" s="218"/>
      <c r="AP423" s="217"/>
      <c r="AQ423" s="218"/>
      <c r="AS423" s="229"/>
      <c r="AT423" s="231"/>
      <c r="AV423" s="217"/>
      <c r="AW423" s="218"/>
    </row>
    <row r="424" spans="30:49" x14ac:dyDescent="0.25">
      <c r="AD424" s="217"/>
      <c r="AE424" s="218"/>
      <c r="AJ424" s="217"/>
      <c r="AK424" s="218"/>
      <c r="AP424" s="217"/>
      <c r="AQ424" s="218"/>
      <c r="AS424" s="229"/>
      <c r="AT424" s="231"/>
      <c r="AV424" s="217"/>
      <c r="AW424" s="218"/>
    </row>
    <row r="425" spans="30:49" x14ac:dyDescent="0.25">
      <c r="AD425" s="217"/>
      <c r="AE425" s="218"/>
      <c r="AJ425" s="217"/>
      <c r="AK425" s="218"/>
      <c r="AP425" s="217"/>
      <c r="AQ425" s="218"/>
      <c r="AS425" s="229"/>
      <c r="AT425" s="231"/>
      <c r="AV425" s="217"/>
      <c r="AW425" s="218"/>
    </row>
    <row r="426" spans="30:49" x14ac:dyDescent="0.25">
      <c r="AD426" s="217"/>
      <c r="AE426" s="218"/>
      <c r="AJ426" s="217"/>
      <c r="AK426" s="218"/>
      <c r="AP426" s="217"/>
      <c r="AQ426" s="218"/>
      <c r="AS426" s="229"/>
      <c r="AT426" s="231"/>
      <c r="AV426" s="217"/>
      <c r="AW426" s="218"/>
    </row>
    <row r="427" spans="30:49" x14ac:dyDescent="0.25">
      <c r="AJ427" s="217"/>
      <c r="AK427" s="218"/>
      <c r="AP427" s="217"/>
      <c r="AQ427" s="218"/>
      <c r="AS427" s="229"/>
      <c r="AT427" s="231"/>
      <c r="AV427" s="217"/>
      <c r="AW427" s="218"/>
    </row>
    <row r="428" spans="30:49" x14ac:dyDescent="0.25">
      <c r="AJ428" s="217"/>
      <c r="AK428" s="218"/>
      <c r="AP428" s="217"/>
      <c r="AQ428" s="218"/>
      <c r="AS428" s="229"/>
      <c r="AT428" s="231"/>
      <c r="AV428" s="217"/>
      <c r="AW428" s="218"/>
    </row>
    <row r="429" spans="30:49" x14ac:dyDescent="0.25">
      <c r="AJ429" s="217"/>
      <c r="AK429" s="218"/>
      <c r="AP429" s="217"/>
      <c r="AQ429" s="218"/>
      <c r="AS429" s="229"/>
      <c r="AT429" s="231"/>
      <c r="AV429" s="217"/>
      <c r="AW429" s="218"/>
    </row>
    <row r="430" spans="30:49" x14ac:dyDescent="0.25">
      <c r="AJ430" s="217"/>
      <c r="AK430" s="218"/>
      <c r="AP430" s="217"/>
      <c r="AQ430" s="218"/>
      <c r="AS430" s="229"/>
      <c r="AT430" s="231"/>
      <c r="AV430" s="217"/>
      <c r="AW430" s="218"/>
    </row>
    <row r="431" spans="30:49" x14ac:dyDescent="0.25">
      <c r="AJ431" s="217"/>
      <c r="AK431" s="218"/>
      <c r="AP431" s="217"/>
      <c r="AQ431" s="218"/>
      <c r="AS431" s="229"/>
      <c r="AT431" s="231"/>
      <c r="AV431" s="217"/>
      <c r="AW431" s="218"/>
    </row>
    <row r="432" spans="30:49" x14ac:dyDescent="0.25">
      <c r="AJ432" s="217"/>
      <c r="AK432" s="218"/>
      <c r="AP432" s="217"/>
      <c r="AQ432" s="218"/>
      <c r="AS432" s="229"/>
      <c r="AT432" s="231"/>
      <c r="AV432" s="217"/>
      <c r="AW432" s="218"/>
    </row>
    <row r="433" spans="36:49" x14ac:dyDescent="0.25">
      <c r="AJ433" s="217"/>
      <c r="AK433" s="218"/>
      <c r="AP433" s="217"/>
      <c r="AQ433" s="218"/>
      <c r="AS433" s="229"/>
      <c r="AT433" s="231"/>
      <c r="AV433" s="217"/>
      <c r="AW433" s="218"/>
    </row>
    <row r="434" spans="36:49" x14ac:dyDescent="0.25">
      <c r="AJ434" s="217"/>
      <c r="AK434" s="218"/>
      <c r="AP434" s="217"/>
      <c r="AQ434" s="218"/>
      <c r="AS434" s="229"/>
      <c r="AT434" s="231"/>
      <c r="AV434" s="217"/>
      <c r="AW434" s="218"/>
    </row>
    <row r="435" spans="36:49" x14ac:dyDescent="0.25">
      <c r="AJ435" s="217"/>
      <c r="AK435" s="218"/>
      <c r="AP435" s="217"/>
      <c r="AQ435" s="218"/>
      <c r="AS435" s="229"/>
      <c r="AT435" s="231"/>
      <c r="AV435" s="217"/>
      <c r="AW435" s="218"/>
    </row>
    <row r="436" spans="36:49" x14ac:dyDescent="0.25">
      <c r="AJ436" s="217"/>
      <c r="AK436" s="218"/>
      <c r="AP436" s="217"/>
      <c r="AQ436" s="218"/>
      <c r="AS436" s="229"/>
      <c r="AT436" s="231"/>
      <c r="AV436" s="217"/>
      <c r="AW436" s="218"/>
    </row>
    <row r="437" spans="36:49" x14ac:dyDescent="0.25">
      <c r="AJ437" s="217"/>
      <c r="AK437" s="218"/>
      <c r="AP437" s="217"/>
      <c r="AQ437" s="218"/>
      <c r="AS437" s="229"/>
      <c r="AT437" s="231"/>
      <c r="AV437" s="217"/>
      <c r="AW437" s="218"/>
    </row>
    <row r="438" spans="36:49" x14ac:dyDescent="0.25">
      <c r="AJ438" s="217"/>
      <c r="AK438" s="218"/>
      <c r="AP438" s="217"/>
      <c r="AQ438" s="218"/>
      <c r="AS438" s="229"/>
      <c r="AT438" s="231"/>
      <c r="AV438" s="217"/>
      <c r="AW438" s="218"/>
    </row>
    <row r="439" spans="36:49" x14ac:dyDescent="0.25">
      <c r="AJ439" s="217"/>
      <c r="AK439" s="218"/>
      <c r="AP439" s="217"/>
      <c r="AQ439" s="218"/>
      <c r="AS439" s="229"/>
      <c r="AT439" s="231"/>
      <c r="AV439" s="217"/>
      <c r="AW439" s="218"/>
    </row>
    <row r="440" spans="36:49" x14ac:dyDescent="0.25">
      <c r="AJ440" s="217"/>
      <c r="AK440" s="218"/>
      <c r="AP440" s="217"/>
      <c r="AQ440" s="218"/>
      <c r="AS440" s="229"/>
      <c r="AT440" s="231"/>
      <c r="AV440" s="217"/>
      <c r="AW440" s="218"/>
    </row>
    <row r="441" spans="36:49" x14ac:dyDescent="0.25">
      <c r="AJ441" s="217"/>
      <c r="AK441" s="218"/>
      <c r="AP441" s="217"/>
      <c r="AQ441" s="218"/>
      <c r="AS441" s="229"/>
      <c r="AT441" s="231"/>
      <c r="AV441" s="217"/>
      <c r="AW441" s="218"/>
    </row>
    <row r="442" spans="36:49" x14ac:dyDescent="0.25">
      <c r="AJ442" s="217"/>
      <c r="AK442" s="218"/>
      <c r="AP442" s="217"/>
      <c r="AQ442" s="218"/>
      <c r="AS442" s="229"/>
      <c r="AT442" s="231"/>
      <c r="AV442" s="217"/>
      <c r="AW442" s="218"/>
    </row>
    <row r="443" spans="36:49" x14ac:dyDescent="0.25">
      <c r="AJ443" s="217"/>
      <c r="AK443" s="218"/>
      <c r="AP443" s="217"/>
      <c r="AQ443" s="218"/>
      <c r="AS443" s="229"/>
      <c r="AT443" s="231"/>
      <c r="AV443" s="217"/>
      <c r="AW443" s="218"/>
    </row>
    <row r="444" spans="36:49" x14ac:dyDescent="0.25">
      <c r="AJ444" s="217"/>
      <c r="AK444" s="218"/>
      <c r="AP444" s="217"/>
      <c r="AQ444" s="218"/>
      <c r="AS444" s="229"/>
      <c r="AT444" s="231"/>
      <c r="AV444" s="217"/>
      <c r="AW444" s="218"/>
    </row>
    <row r="445" spans="36:49" x14ac:dyDescent="0.25">
      <c r="AJ445" s="217"/>
      <c r="AK445" s="218"/>
      <c r="AP445" s="217"/>
      <c r="AQ445" s="218"/>
      <c r="AS445" s="229"/>
      <c r="AT445" s="231"/>
      <c r="AV445" s="217"/>
      <c r="AW445" s="218"/>
    </row>
    <row r="446" spans="36:49" x14ac:dyDescent="0.25">
      <c r="AJ446" s="217"/>
      <c r="AK446" s="218"/>
      <c r="AP446" s="217"/>
      <c r="AQ446" s="218"/>
      <c r="AS446" s="229"/>
      <c r="AT446" s="231"/>
      <c r="AV446" s="217"/>
      <c r="AW446" s="218"/>
    </row>
    <row r="447" spans="36:49" x14ac:dyDescent="0.25">
      <c r="AJ447" s="217"/>
      <c r="AK447" s="218"/>
      <c r="AP447" s="217"/>
      <c r="AQ447" s="218"/>
      <c r="AS447" s="229"/>
      <c r="AT447" s="231"/>
      <c r="AV447" s="217"/>
      <c r="AW447" s="218"/>
    </row>
    <row r="448" spans="36:49" x14ac:dyDescent="0.25">
      <c r="AJ448" s="217"/>
      <c r="AK448" s="218"/>
      <c r="AP448" s="217"/>
      <c r="AQ448" s="218"/>
      <c r="AS448" s="229"/>
      <c r="AT448" s="231"/>
      <c r="AV448" s="217"/>
      <c r="AW448" s="218"/>
    </row>
    <row r="449" spans="36:49" x14ac:dyDescent="0.25">
      <c r="AJ449" s="217"/>
      <c r="AK449" s="218"/>
      <c r="AP449" s="217"/>
      <c r="AQ449" s="218"/>
      <c r="AS449" s="229"/>
      <c r="AT449" s="231"/>
      <c r="AV449" s="217"/>
      <c r="AW449" s="218"/>
    </row>
    <row r="450" spans="36:49" x14ac:dyDescent="0.25">
      <c r="AJ450" s="217"/>
      <c r="AK450" s="218"/>
      <c r="AP450" s="217"/>
      <c r="AQ450" s="218"/>
      <c r="AS450" s="229"/>
      <c r="AT450" s="231"/>
      <c r="AV450" s="217"/>
      <c r="AW450" s="218"/>
    </row>
    <row r="451" spans="36:49" x14ac:dyDescent="0.25">
      <c r="AJ451" s="217"/>
      <c r="AK451" s="218"/>
      <c r="AP451" s="217"/>
      <c r="AQ451" s="218"/>
      <c r="AS451" s="229"/>
      <c r="AT451" s="231"/>
      <c r="AV451" s="217"/>
      <c r="AW451" s="218"/>
    </row>
    <row r="452" spans="36:49" x14ac:dyDescent="0.25">
      <c r="AJ452" s="217"/>
      <c r="AK452" s="218"/>
      <c r="AP452" s="217"/>
      <c r="AQ452" s="218"/>
      <c r="AS452" s="229"/>
      <c r="AT452" s="231"/>
      <c r="AV452" s="217"/>
      <c r="AW452" s="218"/>
    </row>
    <row r="453" spans="36:49" x14ac:dyDescent="0.25">
      <c r="AJ453" s="217"/>
      <c r="AK453" s="218"/>
      <c r="AP453" s="217"/>
      <c r="AQ453" s="218"/>
      <c r="AS453" s="229"/>
      <c r="AT453" s="231"/>
      <c r="AV453" s="217"/>
      <c r="AW453" s="218"/>
    </row>
    <row r="454" spans="36:49" x14ac:dyDescent="0.25">
      <c r="AJ454" s="217"/>
      <c r="AK454" s="218"/>
      <c r="AP454" s="217"/>
      <c r="AQ454" s="218"/>
      <c r="AS454" s="229"/>
      <c r="AT454" s="231"/>
      <c r="AV454" s="217"/>
      <c r="AW454" s="218"/>
    </row>
    <row r="455" spans="36:49" x14ac:dyDescent="0.25">
      <c r="AJ455" s="217"/>
      <c r="AK455" s="218"/>
      <c r="AP455" s="217"/>
      <c r="AQ455" s="218"/>
      <c r="AS455" s="229"/>
      <c r="AT455" s="231"/>
      <c r="AV455" s="217"/>
      <c r="AW455" s="218"/>
    </row>
    <row r="456" spans="36:49" x14ac:dyDescent="0.25">
      <c r="AJ456" s="217"/>
      <c r="AK456" s="218"/>
      <c r="AP456" s="217"/>
      <c r="AQ456" s="218"/>
      <c r="AS456" s="229"/>
      <c r="AT456" s="231"/>
      <c r="AV456" s="217"/>
      <c r="AW456" s="218"/>
    </row>
    <row r="457" spans="36:49" x14ac:dyDescent="0.25">
      <c r="AJ457" s="217"/>
      <c r="AK457" s="218"/>
      <c r="AP457" s="217"/>
      <c r="AQ457" s="218"/>
      <c r="AS457" s="229"/>
      <c r="AT457" s="231"/>
      <c r="AV457" s="217"/>
      <c r="AW457" s="218"/>
    </row>
    <row r="458" spans="36:49" x14ac:dyDescent="0.25">
      <c r="AJ458" s="217"/>
      <c r="AK458" s="218"/>
      <c r="AP458" s="217"/>
      <c r="AQ458" s="218"/>
      <c r="AS458" s="229"/>
      <c r="AT458" s="231"/>
      <c r="AV458" s="217"/>
      <c r="AW458" s="218"/>
    </row>
    <row r="459" spans="36:49" x14ac:dyDescent="0.25">
      <c r="AJ459" s="217"/>
      <c r="AK459" s="218"/>
      <c r="AP459" s="217"/>
      <c r="AQ459" s="218"/>
      <c r="AS459" s="229"/>
      <c r="AT459" s="231"/>
      <c r="AV459" s="217"/>
      <c r="AW459" s="218"/>
    </row>
    <row r="460" spans="36:49" x14ac:dyDescent="0.25">
      <c r="AJ460" s="217"/>
      <c r="AK460" s="218"/>
      <c r="AP460" s="217"/>
      <c r="AQ460" s="218"/>
      <c r="AS460" s="229"/>
      <c r="AT460" s="231"/>
      <c r="AV460" s="217"/>
      <c r="AW460" s="218"/>
    </row>
    <row r="461" spans="36:49" x14ac:dyDescent="0.25">
      <c r="AJ461" s="217"/>
      <c r="AK461" s="218"/>
      <c r="AP461" s="217"/>
      <c r="AQ461" s="218"/>
      <c r="AS461" s="229"/>
      <c r="AT461" s="231"/>
      <c r="AV461" s="217"/>
      <c r="AW461" s="218"/>
    </row>
    <row r="462" spans="36:49" x14ac:dyDescent="0.25">
      <c r="AJ462" s="217"/>
      <c r="AK462" s="218"/>
      <c r="AP462" s="217"/>
      <c r="AQ462" s="218"/>
      <c r="AS462" s="229"/>
      <c r="AT462" s="231"/>
      <c r="AV462" s="217"/>
      <c r="AW462" s="218"/>
    </row>
    <row r="463" spans="36:49" x14ac:dyDescent="0.25">
      <c r="AJ463" s="217"/>
      <c r="AK463" s="218"/>
      <c r="AP463" s="217"/>
      <c r="AQ463" s="218"/>
      <c r="AS463" s="229"/>
      <c r="AT463" s="231"/>
      <c r="AV463" s="217"/>
      <c r="AW463" s="218"/>
    </row>
    <row r="464" spans="36:49" x14ac:dyDescent="0.25">
      <c r="AJ464" s="217"/>
      <c r="AK464" s="218"/>
      <c r="AP464" s="217"/>
      <c r="AQ464" s="218"/>
      <c r="AS464" s="229"/>
      <c r="AT464" s="231"/>
      <c r="AV464" s="217"/>
      <c r="AW464" s="218"/>
    </row>
    <row r="465" spans="36:49" x14ac:dyDescent="0.25">
      <c r="AJ465" s="217"/>
      <c r="AK465" s="218"/>
      <c r="AP465" s="217"/>
      <c r="AQ465" s="218"/>
      <c r="AS465" s="229"/>
      <c r="AT465" s="231"/>
      <c r="AV465" s="217"/>
      <c r="AW465" s="218"/>
    </row>
    <row r="466" spans="36:49" x14ac:dyDescent="0.25">
      <c r="AJ466" s="217"/>
      <c r="AK466" s="218"/>
      <c r="AP466" s="217"/>
      <c r="AQ466" s="218"/>
      <c r="AS466" s="229"/>
      <c r="AT466" s="231"/>
      <c r="AV466" s="217"/>
      <c r="AW466" s="218"/>
    </row>
    <row r="467" spans="36:49" x14ac:dyDescent="0.25">
      <c r="AJ467" s="217"/>
      <c r="AK467" s="218"/>
      <c r="AP467" s="217"/>
      <c r="AQ467" s="218"/>
      <c r="AS467" s="229"/>
      <c r="AT467" s="231"/>
      <c r="AV467" s="217"/>
      <c r="AW467" s="218"/>
    </row>
    <row r="468" spans="36:49" x14ac:dyDescent="0.25">
      <c r="AJ468" s="217"/>
      <c r="AK468" s="218"/>
      <c r="AP468" s="217"/>
      <c r="AQ468" s="218"/>
      <c r="AS468" s="229"/>
      <c r="AT468" s="231"/>
      <c r="AV468" s="217"/>
      <c r="AW468" s="218"/>
    </row>
    <row r="469" spans="36:49" x14ac:dyDescent="0.25">
      <c r="AJ469" s="217"/>
      <c r="AK469" s="218"/>
      <c r="AP469" s="217"/>
      <c r="AQ469" s="218"/>
      <c r="AS469" s="229"/>
      <c r="AT469" s="231"/>
      <c r="AV469" s="217"/>
      <c r="AW469" s="218"/>
    </row>
    <row r="470" spans="36:49" x14ac:dyDescent="0.25">
      <c r="AJ470" s="217"/>
      <c r="AK470" s="218"/>
      <c r="AP470" s="217"/>
      <c r="AQ470" s="218"/>
      <c r="AS470" s="229"/>
      <c r="AT470" s="231"/>
      <c r="AV470" s="217"/>
      <c r="AW470" s="218"/>
    </row>
    <row r="471" spans="36:49" x14ac:dyDescent="0.25">
      <c r="AJ471" s="217"/>
      <c r="AK471" s="218"/>
      <c r="AP471" s="217"/>
      <c r="AQ471" s="218"/>
      <c r="AS471" s="229"/>
      <c r="AT471" s="231"/>
      <c r="AV471" s="217"/>
      <c r="AW471" s="218"/>
    </row>
    <row r="472" spans="36:49" x14ac:dyDescent="0.25">
      <c r="AJ472" s="217"/>
      <c r="AK472" s="218"/>
      <c r="AP472" s="217"/>
      <c r="AQ472" s="218"/>
      <c r="AS472" s="229"/>
      <c r="AT472" s="231"/>
      <c r="AV472" s="217"/>
      <c r="AW472" s="218"/>
    </row>
    <row r="473" spans="36:49" x14ac:dyDescent="0.25">
      <c r="AJ473" s="217"/>
      <c r="AK473" s="218"/>
      <c r="AP473" s="217"/>
      <c r="AQ473" s="218"/>
      <c r="AS473" s="229"/>
      <c r="AT473" s="231"/>
      <c r="AV473" s="217"/>
      <c r="AW473" s="218"/>
    </row>
    <row r="474" spans="36:49" x14ac:dyDescent="0.25">
      <c r="AJ474" s="217"/>
      <c r="AK474" s="218"/>
      <c r="AS474" s="229"/>
      <c r="AT474" s="231"/>
      <c r="AV474" s="217"/>
      <c r="AW474" s="218"/>
    </row>
    <row r="475" spans="36:49" x14ac:dyDescent="0.25">
      <c r="AJ475" s="217"/>
      <c r="AK475" s="218"/>
      <c r="AS475" s="229"/>
      <c r="AT475" s="231"/>
      <c r="AV475" s="217"/>
      <c r="AW475" s="218"/>
    </row>
    <row r="476" spans="36:49" x14ac:dyDescent="0.25">
      <c r="AJ476" s="217"/>
      <c r="AK476" s="218"/>
      <c r="AS476" s="229"/>
      <c r="AT476" s="231"/>
      <c r="AV476" s="217"/>
      <c r="AW476" s="218"/>
    </row>
    <row r="477" spans="36:49" x14ac:dyDescent="0.25">
      <c r="AJ477" s="217"/>
      <c r="AK477" s="218"/>
      <c r="AS477" s="229"/>
      <c r="AT477" s="231"/>
      <c r="AV477" s="217"/>
      <c r="AW477" s="218"/>
    </row>
    <row r="478" spans="36:49" x14ac:dyDescent="0.25">
      <c r="AJ478" s="217"/>
      <c r="AK478" s="218"/>
      <c r="AS478" s="229"/>
      <c r="AT478" s="231"/>
      <c r="AV478" s="217"/>
      <c r="AW478" s="218"/>
    </row>
    <row r="479" spans="36:49" x14ac:dyDescent="0.25">
      <c r="AJ479" s="217"/>
      <c r="AK479" s="218"/>
      <c r="AS479" s="229"/>
      <c r="AT479" s="231"/>
      <c r="AV479" s="217"/>
      <c r="AW479" s="218"/>
    </row>
    <row r="480" spans="36:49" x14ac:dyDescent="0.25">
      <c r="AJ480" s="217"/>
      <c r="AK480" s="218"/>
      <c r="AS480" s="229"/>
      <c r="AT480" s="231"/>
      <c r="AV480" s="217"/>
      <c r="AW480" s="218"/>
    </row>
    <row r="481" spans="36:49" x14ac:dyDescent="0.25">
      <c r="AJ481" s="217"/>
      <c r="AK481" s="218"/>
      <c r="AS481" s="229"/>
      <c r="AT481" s="231"/>
      <c r="AV481" s="217"/>
      <c r="AW481" s="218"/>
    </row>
    <row r="482" spans="36:49" x14ac:dyDescent="0.25">
      <c r="AJ482" s="217"/>
      <c r="AK482" s="218"/>
      <c r="AS482" s="229"/>
      <c r="AT482" s="231"/>
      <c r="AV482" s="217"/>
      <c r="AW482" s="218"/>
    </row>
    <row r="483" spans="36:49" x14ac:dyDescent="0.25">
      <c r="AJ483" s="217"/>
      <c r="AK483" s="218"/>
      <c r="AS483" s="229"/>
      <c r="AT483" s="231"/>
      <c r="AV483" s="217"/>
      <c r="AW483" s="218"/>
    </row>
    <row r="484" spans="36:49" x14ac:dyDescent="0.25">
      <c r="AJ484" s="217"/>
      <c r="AK484" s="218"/>
      <c r="AS484" s="229"/>
      <c r="AT484" s="231"/>
      <c r="AV484" s="217"/>
      <c r="AW484" s="218"/>
    </row>
    <row r="485" spans="36:49" x14ac:dyDescent="0.25">
      <c r="AJ485" s="217"/>
      <c r="AK485" s="218"/>
      <c r="AS485" s="229"/>
      <c r="AT485" s="231"/>
      <c r="AV485" s="217"/>
      <c r="AW485" s="218"/>
    </row>
    <row r="486" spans="36:49" x14ac:dyDescent="0.25">
      <c r="AJ486" s="217"/>
      <c r="AK486" s="218"/>
      <c r="AS486" s="229"/>
      <c r="AT486" s="231"/>
      <c r="AV486" s="217"/>
      <c r="AW486" s="218"/>
    </row>
    <row r="487" spans="36:49" x14ac:dyDescent="0.25">
      <c r="AJ487" s="217"/>
      <c r="AK487" s="218"/>
      <c r="AS487" s="229"/>
      <c r="AT487" s="231"/>
      <c r="AV487" s="217"/>
      <c r="AW487" s="218"/>
    </row>
    <row r="488" spans="36:49" x14ac:dyDescent="0.25">
      <c r="AJ488" s="217"/>
      <c r="AK488" s="218"/>
      <c r="AS488" s="229"/>
      <c r="AT488" s="231"/>
      <c r="AV488" s="217"/>
      <c r="AW488" s="218"/>
    </row>
    <row r="489" spans="36:49" x14ac:dyDescent="0.25">
      <c r="AJ489" s="217"/>
      <c r="AK489" s="218"/>
      <c r="AS489" s="229"/>
      <c r="AT489" s="231"/>
      <c r="AV489" s="217"/>
      <c r="AW489" s="218"/>
    </row>
    <row r="490" spans="36:49" x14ac:dyDescent="0.25">
      <c r="AJ490" s="217"/>
      <c r="AK490" s="218"/>
      <c r="AS490" s="229"/>
      <c r="AT490" s="231"/>
      <c r="AV490" s="217"/>
      <c r="AW490" s="218"/>
    </row>
    <row r="491" spans="36:49" x14ac:dyDescent="0.25">
      <c r="AJ491" s="217"/>
      <c r="AK491" s="218"/>
      <c r="AS491" s="229"/>
      <c r="AT491" s="231"/>
      <c r="AV491" s="217"/>
      <c r="AW491" s="218"/>
    </row>
    <row r="492" spans="36:49" x14ac:dyDescent="0.25">
      <c r="AJ492" s="217"/>
      <c r="AK492" s="218"/>
      <c r="AS492" s="229"/>
      <c r="AT492" s="231"/>
      <c r="AV492" s="217"/>
      <c r="AW492" s="218"/>
    </row>
    <row r="493" spans="36:49" x14ac:dyDescent="0.25">
      <c r="AJ493" s="217"/>
      <c r="AK493" s="218"/>
      <c r="AS493" s="229"/>
      <c r="AT493" s="231"/>
      <c r="AV493" s="217"/>
      <c r="AW493" s="218"/>
    </row>
    <row r="494" spans="36:49" x14ac:dyDescent="0.25">
      <c r="AJ494" s="217"/>
      <c r="AK494" s="218"/>
      <c r="AS494" s="229"/>
      <c r="AT494" s="231"/>
      <c r="AV494" s="217"/>
      <c r="AW494" s="218"/>
    </row>
    <row r="495" spans="36:49" x14ac:dyDescent="0.25">
      <c r="AJ495" s="217"/>
      <c r="AK495" s="218"/>
      <c r="AS495" s="229"/>
      <c r="AT495" s="231"/>
      <c r="AV495" s="217"/>
      <c r="AW495" s="218"/>
    </row>
    <row r="496" spans="36:49" x14ac:dyDescent="0.25">
      <c r="AJ496" s="217"/>
      <c r="AK496" s="218"/>
      <c r="AS496" s="229"/>
      <c r="AT496" s="231"/>
      <c r="AV496" s="217"/>
      <c r="AW496" s="218"/>
    </row>
    <row r="497" spans="36:49" x14ac:dyDescent="0.25">
      <c r="AJ497" s="217"/>
      <c r="AK497" s="218"/>
      <c r="AS497" s="229"/>
      <c r="AT497" s="231"/>
      <c r="AV497" s="217"/>
      <c r="AW497" s="218"/>
    </row>
    <row r="498" spans="36:49" x14ac:dyDescent="0.25">
      <c r="AJ498" s="217"/>
      <c r="AK498" s="218"/>
      <c r="AS498" s="229"/>
      <c r="AT498" s="231"/>
      <c r="AV498" s="217"/>
      <c r="AW498" s="218"/>
    </row>
    <row r="499" spans="36:49" x14ac:dyDescent="0.25">
      <c r="AJ499" s="217"/>
      <c r="AK499" s="218"/>
      <c r="AS499" s="229"/>
      <c r="AT499" s="231"/>
      <c r="AV499" s="217"/>
      <c r="AW499" s="218"/>
    </row>
    <row r="500" spans="36:49" x14ac:dyDescent="0.25">
      <c r="AJ500" s="217"/>
      <c r="AK500" s="218"/>
      <c r="AS500" s="229"/>
      <c r="AT500" s="231"/>
      <c r="AV500" s="217"/>
      <c r="AW500" s="218"/>
    </row>
    <row r="501" spans="36:49" x14ac:dyDescent="0.25">
      <c r="AJ501" s="217"/>
      <c r="AK501" s="218"/>
      <c r="AS501" s="229"/>
      <c r="AT501" s="231"/>
      <c r="AV501" s="217"/>
      <c r="AW501" s="218"/>
    </row>
    <row r="502" spans="36:49" x14ac:dyDescent="0.25">
      <c r="AJ502" s="217"/>
      <c r="AK502" s="218"/>
      <c r="AS502" s="229"/>
      <c r="AT502" s="231"/>
      <c r="AV502" s="217"/>
      <c r="AW502" s="218"/>
    </row>
    <row r="503" spans="36:49" x14ac:dyDescent="0.25">
      <c r="AJ503" s="217"/>
      <c r="AK503" s="218"/>
      <c r="AS503" s="229"/>
      <c r="AT503" s="231"/>
      <c r="AV503" s="217"/>
      <c r="AW503" s="218"/>
    </row>
    <row r="504" spans="36:49" x14ac:dyDescent="0.25">
      <c r="AJ504" s="217"/>
      <c r="AK504" s="218"/>
      <c r="AS504" s="229"/>
      <c r="AT504" s="231"/>
      <c r="AV504" s="217"/>
      <c r="AW504" s="218"/>
    </row>
    <row r="505" spans="36:49" x14ac:dyDescent="0.25">
      <c r="AJ505" s="217"/>
      <c r="AK505" s="218"/>
      <c r="AS505" s="229"/>
      <c r="AT505" s="231"/>
      <c r="AV505" s="217"/>
      <c r="AW505" s="218"/>
    </row>
    <row r="506" spans="36:49" x14ac:dyDescent="0.25">
      <c r="AJ506" s="217"/>
      <c r="AK506" s="218"/>
      <c r="AS506" s="229"/>
      <c r="AT506" s="231"/>
      <c r="AV506" s="217"/>
      <c r="AW506" s="218"/>
    </row>
    <row r="507" spans="36:49" x14ac:dyDescent="0.25">
      <c r="AJ507" s="217"/>
      <c r="AK507" s="218"/>
      <c r="AS507" s="229"/>
      <c r="AT507" s="231"/>
      <c r="AV507" s="217"/>
      <c r="AW507" s="218"/>
    </row>
    <row r="508" spans="36:49" x14ac:dyDescent="0.25">
      <c r="AJ508" s="217"/>
      <c r="AK508" s="218"/>
      <c r="AS508" s="229"/>
      <c r="AT508" s="231"/>
      <c r="AV508" s="217"/>
      <c r="AW508" s="218"/>
    </row>
    <row r="509" spans="36:49" x14ac:dyDescent="0.25">
      <c r="AJ509" s="217"/>
      <c r="AK509" s="218"/>
      <c r="AS509" s="229"/>
      <c r="AT509" s="231"/>
      <c r="AV509" s="217"/>
      <c r="AW509" s="218"/>
    </row>
    <row r="510" spans="36:49" x14ac:dyDescent="0.25">
      <c r="AJ510" s="217"/>
      <c r="AK510" s="218"/>
      <c r="AS510" s="229"/>
      <c r="AT510" s="231"/>
      <c r="AV510" s="217"/>
      <c r="AW510" s="218"/>
    </row>
    <row r="511" spans="36:49" x14ac:dyDescent="0.25">
      <c r="AJ511" s="217"/>
      <c r="AK511" s="218"/>
      <c r="AS511" s="229"/>
      <c r="AT511" s="231"/>
      <c r="AV511" s="217"/>
      <c r="AW511" s="218"/>
    </row>
    <row r="512" spans="36:49" x14ac:dyDescent="0.25">
      <c r="AJ512" s="217"/>
      <c r="AK512" s="218"/>
      <c r="AS512" s="229"/>
      <c r="AT512" s="231"/>
      <c r="AV512" s="217"/>
      <c r="AW512" s="218"/>
    </row>
    <row r="513" spans="36:49" x14ac:dyDescent="0.25">
      <c r="AJ513" s="217"/>
      <c r="AK513" s="218"/>
      <c r="AS513" s="229"/>
      <c r="AT513" s="231"/>
      <c r="AV513" s="217"/>
      <c r="AW513" s="218"/>
    </row>
    <row r="514" spans="36:49" x14ac:dyDescent="0.25">
      <c r="AJ514" s="217"/>
      <c r="AK514" s="218"/>
      <c r="AS514" s="229"/>
      <c r="AT514" s="231"/>
      <c r="AV514" s="217"/>
      <c r="AW514" s="218"/>
    </row>
    <row r="515" spans="36:49" x14ac:dyDescent="0.25">
      <c r="AJ515" s="217"/>
      <c r="AK515" s="218"/>
      <c r="AS515" s="229"/>
      <c r="AT515" s="231"/>
      <c r="AV515" s="217"/>
      <c r="AW515" s="218"/>
    </row>
    <row r="516" spans="36:49" x14ac:dyDescent="0.25">
      <c r="AJ516" s="217"/>
      <c r="AK516" s="218"/>
      <c r="AS516" s="229"/>
      <c r="AT516" s="231"/>
      <c r="AV516" s="217"/>
      <c r="AW516" s="218"/>
    </row>
    <row r="517" spans="36:49" x14ac:dyDescent="0.25">
      <c r="AJ517" s="217"/>
      <c r="AK517" s="218"/>
      <c r="AS517" s="229"/>
      <c r="AT517" s="231"/>
      <c r="AV517" s="217"/>
      <c r="AW517" s="218"/>
    </row>
    <row r="518" spans="36:49" x14ac:dyDescent="0.25">
      <c r="AJ518" s="217"/>
      <c r="AK518" s="218"/>
      <c r="AS518" s="229"/>
      <c r="AT518" s="231"/>
      <c r="AV518" s="217"/>
      <c r="AW518" s="218"/>
    </row>
    <row r="519" spans="36:49" x14ac:dyDescent="0.25">
      <c r="AJ519" s="217"/>
      <c r="AK519" s="218"/>
      <c r="AS519" s="229"/>
      <c r="AT519" s="231"/>
      <c r="AV519" s="217"/>
      <c r="AW519" s="218"/>
    </row>
    <row r="520" spans="36:49" x14ac:dyDescent="0.25">
      <c r="AJ520" s="217"/>
      <c r="AK520" s="218"/>
      <c r="AS520" s="229"/>
      <c r="AT520" s="231"/>
      <c r="AV520" s="217"/>
      <c r="AW520" s="218"/>
    </row>
    <row r="521" spans="36:49" x14ac:dyDescent="0.25">
      <c r="AJ521" s="217"/>
      <c r="AK521" s="218"/>
      <c r="AS521" s="229"/>
      <c r="AT521" s="231"/>
      <c r="AV521" s="217"/>
      <c r="AW521" s="218"/>
    </row>
    <row r="522" spans="36:49" x14ac:dyDescent="0.25">
      <c r="AJ522" s="217"/>
      <c r="AK522" s="218"/>
      <c r="AS522" s="229"/>
      <c r="AT522" s="231"/>
      <c r="AV522" s="217"/>
      <c r="AW522" s="218"/>
    </row>
    <row r="523" spans="36:49" x14ac:dyDescent="0.25">
      <c r="AJ523" s="217"/>
      <c r="AK523" s="218"/>
      <c r="AS523" s="229"/>
      <c r="AT523" s="231"/>
      <c r="AV523" s="217"/>
      <c r="AW523" s="218"/>
    </row>
    <row r="524" spans="36:49" x14ac:dyDescent="0.25">
      <c r="AJ524" s="217"/>
      <c r="AK524" s="218"/>
      <c r="AS524" s="229"/>
      <c r="AT524" s="231"/>
      <c r="AV524" s="217"/>
      <c r="AW524" s="218"/>
    </row>
    <row r="525" spans="36:49" x14ac:dyDescent="0.25">
      <c r="AJ525" s="217"/>
      <c r="AK525" s="218"/>
      <c r="AS525" s="229"/>
      <c r="AT525" s="231"/>
      <c r="AV525" s="217"/>
      <c r="AW525" s="218"/>
    </row>
    <row r="526" spans="36:49" x14ac:dyDescent="0.25">
      <c r="AJ526" s="217"/>
      <c r="AK526" s="218"/>
      <c r="AS526" s="229"/>
      <c r="AT526" s="231"/>
      <c r="AV526" s="217"/>
      <c r="AW526" s="218"/>
    </row>
    <row r="527" spans="36:49" x14ac:dyDescent="0.25">
      <c r="AJ527" s="217"/>
      <c r="AK527" s="218"/>
      <c r="AS527" s="229"/>
      <c r="AT527" s="231"/>
      <c r="AV527" s="217"/>
      <c r="AW527" s="218"/>
    </row>
    <row r="528" spans="36:49" x14ac:dyDescent="0.25">
      <c r="AJ528" s="217"/>
      <c r="AK528" s="218"/>
      <c r="AS528" s="229"/>
      <c r="AT528" s="231"/>
      <c r="AV528" s="217"/>
      <c r="AW528" s="218"/>
    </row>
    <row r="529" spans="36:49" x14ac:dyDescent="0.25">
      <c r="AJ529" s="217"/>
      <c r="AK529" s="218"/>
      <c r="AS529" s="229"/>
      <c r="AT529" s="231"/>
      <c r="AV529" s="217"/>
      <c r="AW529" s="218"/>
    </row>
    <row r="530" spans="36:49" x14ac:dyDescent="0.25">
      <c r="AJ530" s="217"/>
      <c r="AK530" s="218"/>
      <c r="AS530" s="229"/>
      <c r="AT530" s="231"/>
      <c r="AV530" s="217"/>
      <c r="AW530" s="218"/>
    </row>
    <row r="531" spans="36:49" x14ac:dyDescent="0.25">
      <c r="AJ531" s="217"/>
      <c r="AK531" s="218"/>
      <c r="AS531" s="229"/>
      <c r="AT531" s="231"/>
      <c r="AV531" s="217"/>
      <c r="AW531" s="218"/>
    </row>
    <row r="532" spans="36:49" x14ac:dyDescent="0.25">
      <c r="AJ532" s="217"/>
      <c r="AK532" s="218"/>
      <c r="AS532" s="229"/>
      <c r="AT532" s="231"/>
      <c r="AV532" s="217"/>
      <c r="AW532" s="218"/>
    </row>
    <row r="533" spans="36:49" x14ac:dyDescent="0.25">
      <c r="AJ533" s="217"/>
      <c r="AK533" s="218"/>
      <c r="AS533" s="229"/>
      <c r="AT533" s="231"/>
      <c r="AV533" s="217"/>
      <c r="AW533" s="218"/>
    </row>
    <row r="534" spans="36:49" x14ac:dyDescent="0.25">
      <c r="AJ534" s="217"/>
      <c r="AK534" s="218"/>
      <c r="AS534" s="229"/>
      <c r="AT534" s="231"/>
      <c r="AV534" s="217"/>
      <c r="AW534" s="218"/>
    </row>
    <row r="535" spans="36:49" x14ac:dyDescent="0.25">
      <c r="AJ535" s="217"/>
      <c r="AK535" s="218"/>
      <c r="AS535" s="229"/>
      <c r="AT535" s="231"/>
      <c r="AV535" s="217"/>
      <c r="AW535" s="218"/>
    </row>
    <row r="536" spans="36:49" x14ac:dyDescent="0.25">
      <c r="AJ536" s="217"/>
      <c r="AK536" s="218"/>
      <c r="AS536" s="229"/>
      <c r="AT536" s="231"/>
      <c r="AV536" s="217"/>
      <c r="AW536" s="218"/>
    </row>
    <row r="537" spans="36:49" x14ac:dyDescent="0.25">
      <c r="AJ537" s="217"/>
      <c r="AK537" s="218"/>
      <c r="AS537" s="229"/>
      <c r="AT537" s="231"/>
      <c r="AV537" s="217"/>
      <c r="AW537" s="218"/>
    </row>
    <row r="538" spans="36:49" x14ac:dyDescent="0.25">
      <c r="AJ538" s="217"/>
      <c r="AK538" s="218"/>
      <c r="AS538" s="229"/>
      <c r="AT538" s="231"/>
      <c r="AV538" s="217"/>
      <c r="AW538" s="218"/>
    </row>
    <row r="539" spans="36:49" x14ac:dyDescent="0.25">
      <c r="AJ539" s="217"/>
      <c r="AK539" s="218"/>
      <c r="AS539" s="229"/>
      <c r="AT539" s="231"/>
      <c r="AV539" s="217"/>
      <c r="AW539" s="218"/>
    </row>
    <row r="540" spans="36:49" x14ac:dyDescent="0.25">
      <c r="AJ540" s="217"/>
      <c r="AK540" s="218"/>
      <c r="AS540" s="229"/>
      <c r="AT540" s="231"/>
      <c r="AV540" s="217"/>
      <c r="AW540" s="218"/>
    </row>
    <row r="541" spans="36:49" x14ac:dyDescent="0.25">
      <c r="AJ541" s="217"/>
      <c r="AK541" s="218"/>
      <c r="AS541" s="229"/>
      <c r="AT541" s="231"/>
      <c r="AV541" s="217"/>
      <c r="AW541" s="218"/>
    </row>
    <row r="542" spans="36:49" x14ac:dyDescent="0.25">
      <c r="AJ542" s="217"/>
      <c r="AK542" s="218"/>
      <c r="AS542" s="229"/>
      <c r="AT542" s="231"/>
      <c r="AV542" s="217"/>
      <c r="AW542" s="218"/>
    </row>
    <row r="543" spans="36:49" x14ac:dyDescent="0.25">
      <c r="AJ543" s="217"/>
      <c r="AK543" s="218"/>
      <c r="AS543" s="229"/>
      <c r="AT543" s="231"/>
      <c r="AV543" s="217"/>
      <c r="AW543" s="218"/>
    </row>
    <row r="544" spans="36:49" x14ac:dyDescent="0.25">
      <c r="AJ544" s="217"/>
      <c r="AK544" s="218"/>
      <c r="AS544" s="229"/>
      <c r="AT544" s="231"/>
      <c r="AV544" s="217"/>
      <c r="AW544" s="218"/>
    </row>
    <row r="545" spans="36:49" x14ac:dyDescent="0.25">
      <c r="AJ545" s="217"/>
      <c r="AK545" s="218"/>
      <c r="AS545" s="229"/>
      <c r="AT545" s="231"/>
      <c r="AV545" s="217"/>
      <c r="AW545" s="218"/>
    </row>
    <row r="546" spans="36:49" x14ac:dyDescent="0.25">
      <c r="AJ546" s="217"/>
      <c r="AK546" s="218"/>
      <c r="AS546" s="229"/>
      <c r="AT546" s="231"/>
      <c r="AV546" s="217"/>
      <c r="AW546" s="218"/>
    </row>
    <row r="547" spans="36:49" x14ac:dyDescent="0.25">
      <c r="AJ547" s="217"/>
      <c r="AK547" s="218"/>
      <c r="AS547" s="229"/>
      <c r="AT547" s="231"/>
      <c r="AV547" s="217"/>
      <c r="AW547" s="218"/>
    </row>
    <row r="548" spans="36:49" x14ac:dyDescent="0.25">
      <c r="AJ548" s="217"/>
      <c r="AK548" s="218"/>
      <c r="AS548" s="229"/>
      <c r="AT548" s="231"/>
      <c r="AV548" s="217"/>
      <c r="AW548" s="218"/>
    </row>
    <row r="549" spans="36:49" x14ac:dyDescent="0.25">
      <c r="AJ549" s="217"/>
      <c r="AK549" s="218"/>
      <c r="AS549" s="229"/>
      <c r="AT549" s="231"/>
      <c r="AV549" s="217"/>
      <c r="AW549" s="218"/>
    </row>
    <row r="550" spans="36:49" x14ac:dyDescent="0.25">
      <c r="AJ550" s="217"/>
      <c r="AK550" s="218"/>
      <c r="AS550" s="229"/>
      <c r="AT550" s="231"/>
      <c r="AV550" s="217"/>
      <c r="AW550" s="218"/>
    </row>
    <row r="551" spans="36:49" x14ac:dyDescent="0.25">
      <c r="AJ551" s="217"/>
      <c r="AK551" s="218"/>
      <c r="AS551" s="229"/>
      <c r="AT551" s="231"/>
      <c r="AV551" s="217"/>
      <c r="AW551" s="218"/>
    </row>
    <row r="552" spans="36:49" x14ac:dyDescent="0.25">
      <c r="AJ552" s="217"/>
      <c r="AK552" s="218"/>
      <c r="AS552" s="229"/>
      <c r="AT552" s="231"/>
      <c r="AV552" s="217"/>
      <c r="AW552" s="218"/>
    </row>
    <row r="553" spans="36:49" x14ac:dyDescent="0.25">
      <c r="AJ553" s="217"/>
      <c r="AK553" s="218"/>
      <c r="AS553" s="229"/>
      <c r="AT553" s="231"/>
      <c r="AV553" s="217"/>
      <c r="AW553" s="218"/>
    </row>
    <row r="554" spans="36:49" x14ac:dyDescent="0.25">
      <c r="AJ554" s="217"/>
      <c r="AK554" s="218"/>
      <c r="AS554" s="229"/>
      <c r="AT554" s="231"/>
      <c r="AV554" s="217"/>
      <c r="AW554" s="218"/>
    </row>
    <row r="555" spans="36:49" x14ac:dyDescent="0.25">
      <c r="AJ555" s="217"/>
      <c r="AK555" s="218"/>
      <c r="AS555" s="229"/>
      <c r="AT555" s="231"/>
      <c r="AV555" s="217"/>
      <c r="AW555" s="218"/>
    </row>
    <row r="556" spans="36:49" x14ac:dyDescent="0.25">
      <c r="AJ556" s="217"/>
      <c r="AK556" s="218"/>
      <c r="AS556" s="229"/>
      <c r="AT556" s="231"/>
      <c r="AV556" s="217"/>
      <c r="AW556" s="218"/>
    </row>
    <row r="557" spans="36:49" x14ac:dyDescent="0.25">
      <c r="AJ557" s="217"/>
      <c r="AK557" s="218"/>
      <c r="AS557" s="229"/>
      <c r="AT557" s="231"/>
      <c r="AV557" s="217"/>
      <c r="AW557" s="218"/>
    </row>
    <row r="558" spans="36:49" x14ac:dyDescent="0.25">
      <c r="AJ558" s="217"/>
      <c r="AK558" s="218"/>
      <c r="AS558" s="229"/>
      <c r="AT558" s="231"/>
      <c r="AV558" s="217"/>
      <c r="AW558" s="218"/>
    </row>
    <row r="559" spans="36:49" x14ac:dyDescent="0.25">
      <c r="AJ559" s="217"/>
      <c r="AK559" s="218"/>
      <c r="AS559" s="229"/>
      <c r="AT559" s="231"/>
      <c r="AV559" s="217"/>
      <c r="AW559" s="218"/>
    </row>
    <row r="560" spans="36:49" x14ac:dyDescent="0.25">
      <c r="AJ560" s="217"/>
      <c r="AK560" s="218"/>
      <c r="AS560" s="229"/>
      <c r="AT560" s="231"/>
      <c r="AV560" s="217"/>
      <c r="AW560" s="218"/>
    </row>
    <row r="561" spans="36:49" x14ac:dyDescent="0.25">
      <c r="AJ561" s="217"/>
      <c r="AK561" s="218"/>
      <c r="AS561" s="229"/>
      <c r="AT561" s="231"/>
      <c r="AV561" s="217"/>
      <c r="AW561" s="218"/>
    </row>
    <row r="562" spans="36:49" x14ac:dyDescent="0.25">
      <c r="AJ562" s="217"/>
      <c r="AK562" s="218"/>
      <c r="AS562" s="229"/>
      <c r="AT562" s="231"/>
      <c r="AV562" s="217"/>
      <c r="AW562" s="218"/>
    </row>
    <row r="563" spans="36:49" x14ac:dyDescent="0.25">
      <c r="AJ563" s="217"/>
      <c r="AK563" s="218"/>
      <c r="AS563" s="229"/>
      <c r="AT563" s="231"/>
      <c r="AV563" s="217"/>
      <c r="AW563" s="218"/>
    </row>
    <row r="564" spans="36:49" x14ac:dyDescent="0.25">
      <c r="AJ564" s="217"/>
      <c r="AK564" s="218"/>
      <c r="AS564" s="229"/>
      <c r="AT564" s="231"/>
      <c r="AV564" s="217"/>
      <c r="AW564" s="218"/>
    </row>
    <row r="565" spans="36:49" x14ac:dyDescent="0.25">
      <c r="AJ565" s="217"/>
      <c r="AK565" s="218"/>
      <c r="AS565" s="229"/>
      <c r="AT565" s="231"/>
      <c r="AV565" s="217"/>
      <c r="AW565" s="218"/>
    </row>
    <row r="566" spans="36:49" x14ac:dyDescent="0.25">
      <c r="AJ566" s="217"/>
      <c r="AK566" s="218"/>
      <c r="AS566" s="229"/>
      <c r="AT566" s="231"/>
      <c r="AV566" s="217"/>
      <c r="AW566" s="218"/>
    </row>
    <row r="567" spans="36:49" x14ac:dyDescent="0.25">
      <c r="AJ567" s="217"/>
      <c r="AK567" s="218"/>
      <c r="AS567" s="229"/>
      <c r="AT567" s="231"/>
      <c r="AV567" s="217"/>
      <c r="AW567" s="218"/>
    </row>
    <row r="568" spans="36:49" x14ac:dyDescent="0.25">
      <c r="AJ568" s="217"/>
      <c r="AK568" s="218"/>
      <c r="AS568" s="229"/>
      <c r="AT568" s="231"/>
      <c r="AV568" s="217"/>
      <c r="AW568" s="218"/>
    </row>
    <row r="569" spans="36:49" x14ac:dyDescent="0.25">
      <c r="AJ569" s="217"/>
      <c r="AK569" s="218"/>
      <c r="AS569" s="229"/>
      <c r="AT569" s="231"/>
      <c r="AV569" s="217"/>
      <c r="AW569" s="218"/>
    </row>
    <row r="570" spans="36:49" x14ac:dyDescent="0.25">
      <c r="AJ570" s="217"/>
      <c r="AK570" s="218"/>
      <c r="AS570" s="229"/>
      <c r="AT570" s="231"/>
      <c r="AV570" s="217"/>
      <c r="AW570" s="218"/>
    </row>
    <row r="571" spans="36:49" x14ac:dyDescent="0.25">
      <c r="AJ571" s="217"/>
      <c r="AK571" s="218"/>
      <c r="AS571" s="229"/>
      <c r="AT571" s="231"/>
      <c r="AV571" s="217"/>
      <c r="AW571" s="218"/>
    </row>
    <row r="572" spans="36:49" x14ac:dyDescent="0.25">
      <c r="AJ572" s="217"/>
      <c r="AK572" s="218"/>
      <c r="AS572" s="229"/>
      <c r="AT572" s="231"/>
      <c r="AV572" s="217"/>
      <c r="AW572" s="218"/>
    </row>
    <row r="573" spans="36:49" x14ac:dyDescent="0.25">
      <c r="AJ573" s="217"/>
      <c r="AK573" s="218"/>
      <c r="AS573" s="229"/>
      <c r="AT573" s="231"/>
      <c r="AV573" s="217"/>
      <c r="AW573" s="218"/>
    </row>
    <row r="574" spans="36:49" x14ac:dyDescent="0.25">
      <c r="AJ574" s="217"/>
      <c r="AK574" s="218"/>
      <c r="AS574" s="229"/>
      <c r="AT574" s="231"/>
      <c r="AV574" s="217"/>
      <c r="AW574" s="218"/>
    </row>
    <row r="575" spans="36:49" x14ac:dyDescent="0.25">
      <c r="AJ575" s="217"/>
      <c r="AK575" s="218"/>
      <c r="AS575" s="229"/>
      <c r="AT575" s="231"/>
      <c r="AV575" s="217"/>
      <c r="AW575" s="218"/>
    </row>
    <row r="576" spans="36:49" x14ac:dyDescent="0.25">
      <c r="AJ576" s="217"/>
      <c r="AK576" s="218"/>
      <c r="AS576" s="229"/>
      <c r="AT576" s="231"/>
      <c r="AV576" s="217"/>
      <c r="AW576" s="218"/>
    </row>
    <row r="577" spans="36:49" x14ac:dyDescent="0.25">
      <c r="AJ577" s="217"/>
      <c r="AK577" s="218"/>
      <c r="AS577" s="229"/>
      <c r="AT577" s="231"/>
      <c r="AV577" s="217"/>
      <c r="AW577" s="218"/>
    </row>
    <row r="578" spans="36:49" x14ac:dyDescent="0.25">
      <c r="AJ578" s="217"/>
      <c r="AK578" s="218"/>
      <c r="AS578" s="229"/>
      <c r="AT578" s="231"/>
      <c r="AV578" s="217"/>
      <c r="AW578" s="218"/>
    </row>
    <row r="579" spans="36:49" x14ac:dyDescent="0.25">
      <c r="AJ579" s="217"/>
      <c r="AK579" s="218"/>
      <c r="AS579" s="229"/>
      <c r="AT579" s="231"/>
      <c r="AV579" s="217"/>
      <c r="AW579" s="218"/>
    </row>
    <row r="580" spans="36:49" x14ac:dyDescent="0.25">
      <c r="AJ580" s="217"/>
      <c r="AK580" s="218"/>
      <c r="AS580" s="229"/>
      <c r="AT580" s="231"/>
      <c r="AV580" s="217"/>
      <c r="AW580" s="218"/>
    </row>
    <row r="581" spans="36:49" x14ac:dyDescent="0.25">
      <c r="AJ581" s="217"/>
      <c r="AK581" s="218"/>
      <c r="AS581" s="229"/>
      <c r="AT581" s="231"/>
      <c r="AV581" s="217"/>
      <c r="AW581" s="218"/>
    </row>
    <row r="582" spans="36:49" x14ac:dyDescent="0.25">
      <c r="AJ582" s="217"/>
      <c r="AK582" s="218"/>
      <c r="AS582" s="229"/>
      <c r="AT582" s="231"/>
      <c r="AV582" s="217"/>
      <c r="AW582" s="218"/>
    </row>
    <row r="583" spans="36:49" x14ac:dyDescent="0.25">
      <c r="AJ583" s="217"/>
      <c r="AK583" s="218"/>
      <c r="AS583" s="229"/>
      <c r="AT583" s="231"/>
      <c r="AV583" s="217"/>
      <c r="AW583" s="218"/>
    </row>
    <row r="584" spans="36:49" x14ac:dyDescent="0.25">
      <c r="AS584" s="229"/>
      <c r="AT584" s="231"/>
      <c r="AV584" s="217"/>
      <c r="AW584" s="218"/>
    </row>
    <row r="585" spans="36:49" x14ac:dyDescent="0.25">
      <c r="AS585" s="229"/>
      <c r="AT585" s="231"/>
      <c r="AV585" s="217"/>
      <c r="AW585" s="218"/>
    </row>
    <row r="586" spans="36:49" x14ac:dyDescent="0.25">
      <c r="AS586" s="229"/>
      <c r="AT586" s="231"/>
      <c r="AV586" s="217"/>
      <c r="AW586" s="218"/>
    </row>
    <row r="587" spans="36:49" x14ac:dyDescent="0.25">
      <c r="AS587" s="229"/>
      <c r="AT587" s="231"/>
      <c r="AV587" s="217"/>
      <c r="AW587" s="218"/>
    </row>
    <row r="588" spans="36:49" x14ac:dyDescent="0.25">
      <c r="AS588" s="229"/>
      <c r="AT588" s="231"/>
      <c r="AV588" s="217"/>
      <c r="AW588" s="218"/>
    </row>
    <row r="589" spans="36:49" x14ac:dyDescent="0.25">
      <c r="AS589" s="229"/>
      <c r="AT589" s="231"/>
      <c r="AV589" s="217"/>
      <c r="AW589" s="218"/>
    </row>
    <row r="590" spans="36:49" x14ac:dyDescent="0.25">
      <c r="AS590" s="229"/>
      <c r="AT590" s="231"/>
      <c r="AV590" s="217"/>
      <c r="AW590" s="218"/>
    </row>
    <row r="591" spans="36:49" x14ac:dyDescent="0.25">
      <c r="AS591" s="229"/>
      <c r="AT591" s="231"/>
      <c r="AV591" s="217"/>
      <c r="AW591" s="218"/>
    </row>
    <row r="592" spans="36:49" x14ac:dyDescent="0.25">
      <c r="AS592" s="229"/>
      <c r="AT592" s="231"/>
      <c r="AV592" s="217"/>
      <c r="AW592" s="218"/>
    </row>
    <row r="593" spans="45:49" x14ac:dyDescent="0.25">
      <c r="AS593" s="229"/>
      <c r="AT593" s="231"/>
      <c r="AV593" s="217"/>
      <c r="AW593" s="218"/>
    </row>
    <row r="594" spans="45:49" x14ac:dyDescent="0.25">
      <c r="AS594" s="229"/>
      <c r="AT594" s="231"/>
      <c r="AV594" s="217"/>
      <c r="AW594" s="218"/>
    </row>
    <row r="595" spans="45:49" x14ac:dyDescent="0.25">
      <c r="AS595" s="229"/>
      <c r="AT595" s="231"/>
      <c r="AV595" s="217"/>
      <c r="AW595" s="218"/>
    </row>
    <row r="596" spans="45:49" x14ac:dyDescent="0.25">
      <c r="AS596" s="229"/>
      <c r="AT596" s="231"/>
      <c r="AV596" s="217"/>
      <c r="AW596" s="218"/>
    </row>
    <row r="597" spans="45:49" x14ac:dyDescent="0.25">
      <c r="AS597" s="229"/>
      <c r="AT597" s="231"/>
      <c r="AV597" s="217"/>
      <c r="AW597" s="218"/>
    </row>
    <row r="598" spans="45:49" x14ac:dyDescent="0.25">
      <c r="AS598" s="229"/>
      <c r="AT598" s="231"/>
      <c r="AV598" s="217"/>
      <c r="AW598" s="218"/>
    </row>
    <row r="599" spans="45:49" x14ac:dyDescent="0.25">
      <c r="AS599" s="229"/>
      <c r="AT599" s="231"/>
      <c r="AV599" s="217"/>
      <c r="AW599" s="218"/>
    </row>
    <row r="600" spans="45:49" x14ac:dyDescent="0.25">
      <c r="AS600" s="229"/>
      <c r="AT600" s="231"/>
      <c r="AV600" s="217"/>
      <c r="AW600" s="218"/>
    </row>
    <row r="601" spans="45:49" x14ac:dyDescent="0.25">
      <c r="AS601" s="229"/>
      <c r="AT601" s="231"/>
      <c r="AV601" s="217"/>
      <c r="AW601" s="218"/>
    </row>
    <row r="602" spans="45:49" x14ac:dyDescent="0.25">
      <c r="AS602" s="229"/>
      <c r="AT602" s="231"/>
      <c r="AV602" s="217"/>
      <c r="AW602" s="218"/>
    </row>
    <row r="603" spans="45:49" x14ac:dyDescent="0.25">
      <c r="AS603" s="229"/>
      <c r="AT603" s="231"/>
      <c r="AV603" s="217"/>
      <c r="AW603" s="218"/>
    </row>
    <row r="604" spans="45:49" x14ac:dyDescent="0.25">
      <c r="AS604" s="229"/>
      <c r="AT604" s="231"/>
      <c r="AV604" s="217"/>
      <c r="AW604" s="218"/>
    </row>
    <row r="605" spans="45:49" x14ac:dyDescent="0.25">
      <c r="AS605" s="229"/>
      <c r="AT605" s="231"/>
      <c r="AV605" s="217"/>
      <c r="AW605" s="218"/>
    </row>
    <row r="606" spans="45:49" x14ac:dyDescent="0.25">
      <c r="AS606" s="229"/>
      <c r="AT606" s="231"/>
      <c r="AV606" s="217"/>
      <c r="AW606" s="218"/>
    </row>
    <row r="607" spans="45:49" x14ac:dyDescent="0.25">
      <c r="AS607" s="229"/>
      <c r="AT607" s="231"/>
      <c r="AV607" s="217"/>
      <c r="AW607" s="218"/>
    </row>
    <row r="608" spans="45:49" x14ac:dyDescent="0.25">
      <c r="AS608" s="229"/>
      <c r="AT608" s="231"/>
      <c r="AV608" s="217"/>
      <c r="AW608" s="218"/>
    </row>
    <row r="609" spans="45:49" x14ac:dyDescent="0.25">
      <c r="AS609" s="229"/>
      <c r="AT609" s="231"/>
      <c r="AV609" s="217"/>
      <c r="AW609" s="218"/>
    </row>
    <row r="610" spans="45:49" x14ac:dyDescent="0.25">
      <c r="AS610" s="229"/>
      <c r="AT610" s="231"/>
      <c r="AV610" s="217"/>
      <c r="AW610" s="218"/>
    </row>
    <row r="611" spans="45:49" x14ac:dyDescent="0.25">
      <c r="AS611" s="229"/>
      <c r="AT611" s="231"/>
      <c r="AV611" s="217"/>
      <c r="AW611" s="218"/>
    </row>
    <row r="612" spans="45:49" x14ac:dyDescent="0.25">
      <c r="AS612" s="229"/>
      <c r="AT612" s="231"/>
      <c r="AV612" s="217"/>
      <c r="AW612" s="218"/>
    </row>
    <row r="613" spans="45:49" x14ac:dyDescent="0.25">
      <c r="AS613" s="229"/>
      <c r="AT613" s="231"/>
      <c r="AV613" s="217"/>
      <c r="AW613" s="218"/>
    </row>
    <row r="614" spans="45:49" x14ac:dyDescent="0.25">
      <c r="AS614" s="229"/>
      <c r="AT614" s="231"/>
      <c r="AV614" s="217"/>
      <c r="AW614" s="218"/>
    </row>
    <row r="615" spans="45:49" x14ac:dyDescent="0.25">
      <c r="AS615" s="229"/>
      <c r="AT615" s="231"/>
      <c r="AV615" s="217"/>
      <c r="AW615" s="218"/>
    </row>
    <row r="616" spans="45:49" x14ac:dyDescent="0.25">
      <c r="AS616" s="229"/>
      <c r="AT616" s="231"/>
      <c r="AV616" s="217"/>
      <c r="AW616" s="218"/>
    </row>
    <row r="617" spans="45:49" x14ac:dyDescent="0.25">
      <c r="AS617" s="229"/>
      <c r="AT617" s="231"/>
      <c r="AV617" s="217"/>
      <c r="AW617" s="218"/>
    </row>
    <row r="618" spans="45:49" x14ac:dyDescent="0.25">
      <c r="AV618" s="217"/>
      <c r="AW618" s="218"/>
    </row>
    <row r="619" spans="45:49" x14ac:dyDescent="0.25">
      <c r="AV619" s="217"/>
      <c r="AW619" s="218"/>
    </row>
    <row r="620" spans="45:49" x14ac:dyDescent="0.25">
      <c r="AV620" s="217"/>
      <c r="AW620" s="218"/>
    </row>
    <row r="621" spans="45:49" x14ac:dyDescent="0.25">
      <c r="AV621" s="217"/>
      <c r="AW621" s="218"/>
    </row>
    <row r="622" spans="45:49" x14ac:dyDescent="0.25">
      <c r="AV622" s="217"/>
      <c r="AW622" s="218"/>
    </row>
    <row r="623" spans="45:49" x14ac:dyDescent="0.25">
      <c r="AV623" s="217"/>
      <c r="AW623" s="218"/>
    </row>
    <row r="624" spans="45:49" x14ac:dyDescent="0.25">
      <c r="AV624" s="217"/>
      <c r="AW624" s="218"/>
    </row>
    <row r="625" spans="48:49" x14ac:dyDescent="0.25">
      <c r="AV625" s="217"/>
      <c r="AW625" s="218"/>
    </row>
    <row r="626" spans="48:49" x14ac:dyDescent="0.25">
      <c r="AV626" s="217"/>
      <c r="AW626" s="218"/>
    </row>
    <row r="627" spans="48:49" x14ac:dyDescent="0.25">
      <c r="AV627" s="217"/>
      <c r="AW627" s="218"/>
    </row>
    <row r="628" spans="48:49" x14ac:dyDescent="0.25">
      <c r="AV628" s="217"/>
      <c r="AW628" s="218"/>
    </row>
    <row r="629" spans="48:49" x14ac:dyDescent="0.25">
      <c r="AV629" s="217"/>
      <c r="AW629" s="218"/>
    </row>
    <row r="630" spans="48:49" x14ac:dyDescent="0.25">
      <c r="AV630" s="217"/>
      <c r="AW630" s="218"/>
    </row>
    <row r="631" spans="48:49" x14ac:dyDescent="0.25">
      <c r="AV631" s="217"/>
      <c r="AW631" s="218"/>
    </row>
    <row r="632" spans="48:49" x14ac:dyDescent="0.25">
      <c r="AV632" s="217"/>
      <c r="AW632" s="218"/>
    </row>
    <row r="633" spans="48:49" x14ac:dyDescent="0.25">
      <c r="AV633" s="217"/>
      <c r="AW633" s="218"/>
    </row>
    <row r="634" spans="48:49" x14ac:dyDescent="0.25">
      <c r="AV634" s="217"/>
      <c r="AW634" s="218"/>
    </row>
    <row r="635" spans="48:49" x14ac:dyDescent="0.25">
      <c r="AV635" s="217"/>
      <c r="AW635" s="218"/>
    </row>
    <row r="636" spans="48:49" x14ac:dyDescent="0.25">
      <c r="AV636" s="217"/>
      <c r="AW636" s="218"/>
    </row>
    <row r="637" spans="48:49" x14ac:dyDescent="0.25">
      <c r="AV637" s="217"/>
      <c r="AW637" s="218"/>
    </row>
    <row r="638" spans="48:49" x14ac:dyDescent="0.25">
      <c r="AV638" s="217"/>
      <c r="AW638" s="218"/>
    </row>
    <row r="639" spans="48:49" x14ac:dyDescent="0.25">
      <c r="AV639" s="217"/>
      <c r="AW639" s="218"/>
    </row>
    <row r="640" spans="48:49" x14ac:dyDescent="0.25">
      <c r="AV640" s="217"/>
      <c r="AW640" s="218"/>
    </row>
    <row r="641" spans="48:49" x14ac:dyDescent="0.25">
      <c r="AV641" s="217"/>
      <c r="AW641" s="218"/>
    </row>
    <row r="642" spans="48:49" x14ac:dyDescent="0.25">
      <c r="AV642" s="217"/>
      <c r="AW642" s="218"/>
    </row>
    <row r="643" spans="48:49" x14ac:dyDescent="0.25">
      <c r="AV643" s="217"/>
      <c r="AW643" s="218"/>
    </row>
    <row r="644" spans="48:49" x14ac:dyDescent="0.25">
      <c r="AV644" s="217"/>
      <c r="AW644" s="218"/>
    </row>
    <row r="645" spans="48:49" x14ac:dyDescent="0.25">
      <c r="AV645" s="217"/>
      <c r="AW645" s="218"/>
    </row>
    <row r="646" spans="48:49" x14ac:dyDescent="0.25">
      <c r="AV646" s="217"/>
      <c r="AW646" s="218"/>
    </row>
    <row r="647" spans="48:49" x14ac:dyDescent="0.25">
      <c r="AV647" s="217"/>
      <c r="AW647" s="218"/>
    </row>
    <row r="648" spans="48:49" x14ac:dyDescent="0.25">
      <c r="AV648" s="217"/>
      <c r="AW648" s="218"/>
    </row>
    <row r="649" spans="48:49" x14ac:dyDescent="0.25">
      <c r="AV649" s="217"/>
      <c r="AW649" s="218"/>
    </row>
    <row r="650" spans="48:49" x14ac:dyDescent="0.25">
      <c r="AV650" s="217"/>
      <c r="AW650" s="218"/>
    </row>
    <row r="651" spans="48:49" x14ac:dyDescent="0.25">
      <c r="AV651" s="217"/>
      <c r="AW651" s="218"/>
    </row>
    <row r="652" spans="48:49" x14ac:dyDescent="0.25">
      <c r="AV652" s="217"/>
      <c r="AW652" s="218"/>
    </row>
    <row r="653" spans="48:49" x14ac:dyDescent="0.25">
      <c r="AV653" s="217"/>
      <c r="AW653" s="218"/>
    </row>
    <row r="654" spans="48:49" x14ac:dyDescent="0.25">
      <c r="AV654" s="217"/>
      <c r="AW654" s="218"/>
    </row>
    <row r="655" spans="48:49" x14ac:dyDescent="0.25">
      <c r="AV655" s="217"/>
      <c r="AW655" s="218"/>
    </row>
    <row r="656" spans="48:49" x14ac:dyDescent="0.25">
      <c r="AV656" s="217"/>
      <c r="AW656" s="218"/>
    </row>
    <row r="657" spans="48:49" x14ac:dyDescent="0.25">
      <c r="AV657" s="217"/>
      <c r="AW657" s="218"/>
    </row>
    <row r="658" spans="48:49" x14ac:dyDescent="0.25">
      <c r="AV658" s="217"/>
      <c r="AW658" s="218"/>
    </row>
    <row r="659" spans="48:49" x14ac:dyDescent="0.25">
      <c r="AV659" s="217"/>
      <c r="AW659" s="218"/>
    </row>
    <row r="660" spans="48:49" x14ac:dyDescent="0.25">
      <c r="AV660" s="217"/>
      <c r="AW660" s="218"/>
    </row>
    <row r="661" spans="48:49" x14ac:dyDescent="0.25">
      <c r="AV661" s="217"/>
      <c r="AW661" s="218"/>
    </row>
    <row r="662" spans="48:49" x14ac:dyDescent="0.25">
      <c r="AV662" s="217"/>
      <c r="AW662" s="218"/>
    </row>
    <row r="663" spans="48:49" x14ac:dyDescent="0.25">
      <c r="AV663" s="217"/>
      <c r="AW663" s="218"/>
    </row>
    <row r="664" spans="48:49" x14ac:dyDescent="0.25">
      <c r="AV664" s="217"/>
      <c r="AW664" s="218"/>
    </row>
    <row r="665" spans="48:49" x14ac:dyDescent="0.25">
      <c r="AV665" s="217"/>
      <c r="AW665" s="218"/>
    </row>
    <row r="666" spans="48:49" x14ac:dyDescent="0.25">
      <c r="AV666" s="217"/>
      <c r="AW666" s="218"/>
    </row>
    <row r="667" spans="48:49" x14ac:dyDescent="0.25">
      <c r="AV667" s="217"/>
      <c r="AW667" s="218"/>
    </row>
    <row r="668" spans="48:49" x14ac:dyDescent="0.25">
      <c r="AV668" s="217"/>
      <c r="AW668" s="218"/>
    </row>
    <row r="669" spans="48:49" x14ac:dyDescent="0.25">
      <c r="AV669" s="217"/>
      <c r="AW669" s="218"/>
    </row>
    <row r="670" spans="48:49" x14ac:dyDescent="0.25">
      <c r="AV670" s="217"/>
      <c r="AW670" s="218"/>
    </row>
    <row r="671" spans="48:49" x14ac:dyDescent="0.25">
      <c r="AV671" s="217"/>
      <c r="AW671" s="218"/>
    </row>
    <row r="672" spans="48:49" x14ac:dyDescent="0.25">
      <c r="AV672" s="217"/>
      <c r="AW672" s="218"/>
    </row>
    <row r="673" spans="48:49" x14ac:dyDescent="0.25">
      <c r="AV673" s="217"/>
      <c r="AW673" s="218"/>
    </row>
    <row r="674" spans="48:49" x14ac:dyDescent="0.25">
      <c r="AV674" s="217"/>
      <c r="AW674" s="218"/>
    </row>
    <row r="675" spans="48:49" x14ac:dyDescent="0.25">
      <c r="AV675" s="217"/>
      <c r="AW675" s="218"/>
    </row>
    <row r="676" spans="48:49" x14ac:dyDescent="0.25">
      <c r="AV676" s="217"/>
      <c r="AW676" s="218"/>
    </row>
    <row r="677" spans="48:49" x14ac:dyDescent="0.25">
      <c r="AV677" s="217"/>
      <c r="AW677" s="218"/>
    </row>
    <row r="678" spans="48:49" x14ac:dyDescent="0.25">
      <c r="AV678" s="217"/>
      <c r="AW678" s="218"/>
    </row>
    <row r="679" spans="48:49" x14ac:dyDescent="0.25">
      <c r="AV679" s="217"/>
      <c r="AW679" s="218"/>
    </row>
    <row r="680" spans="48:49" x14ac:dyDescent="0.25">
      <c r="AV680" s="217"/>
      <c r="AW680" s="218"/>
    </row>
    <row r="681" spans="48:49" x14ac:dyDescent="0.25">
      <c r="AV681" s="217"/>
      <c r="AW681" s="218"/>
    </row>
    <row r="682" spans="48:49" x14ac:dyDescent="0.25">
      <c r="AV682" s="217"/>
      <c r="AW682" s="218"/>
    </row>
    <row r="683" spans="48:49" x14ac:dyDescent="0.25">
      <c r="AV683" s="217"/>
      <c r="AW683" s="218"/>
    </row>
    <row r="684" spans="48:49" x14ac:dyDescent="0.25">
      <c r="AV684" s="217"/>
      <c r="AW684" s="218"/>
    </row>
    <row r="685" spans="48:49" x14ac:dyDescent="0.25">
      <c r="AV685" s="217"/>
      <c r="AW685" s="218"/>
    </row>
    <row r="686" spans="48:49" x14ac:dyDescent="0.25">
      <c r="AV686" s="217"/>
      <c r="AW686" s="218"/>
    </row>
    <row r="687" spans="48:49" x14ac:dyDescent="0.25">
      <c r="AV687" s="217"/>
      <c r="AW687" s="218"/>
    </row>
    <row r="688" spans="48:49" x14ac:dyDescent="0.25">
      <c r="AV688" s="217"/>
      <c r="AW688" s="218"/>
    </row>
    <row r="689" spans="48:49" x14ac:dyDescent="0.25">
      <c r="AV689" s="217"/>
      <c r="AW689" s="218"/>
    </row>
    <row r="690" spans="48:49" x14ac:dyDescent="0.25">
      <c r="AV690" s="217"/>
      <c r="AW690" s="218"/>
    </row>
    <row r="691" spans="48:49" x14ac:dyDescent="0.25">
      <c r="AV691" s="217"/>
      <c r="AW691" s="218"/>
    </row>
    <row r="692" spans="48:49" x14ac:dyDescent="0.25">
      <c r="AV692" s="217"/>
      <c r="AW692" s="218"/>
    </row>
    <row r="693" spans="48:49" x14ac:dyDescent="0.25">
      <c r="AV693" s="217"/>
      <c r="AW693" s="218"/>
    </row>
    <row r="694" spans="48:49" x14ac:dyDescent="0.25">
      <c r="AV694" s="217"/>
      <c r="AW694" s="218"/>
    </row>
    <row r="695" spans="48:49" x14ac:dyDescent="0.25">
      <c r="AV695" s="217"/>
      <c r="AW695" s="218"/>
    </row>
    <row r="696" spans="48:49" x14ac:dyDescent="0.25">
      <c r="AV696" s="217"/>
      <c r="AW696" s="218"/>
    </row>
    <row r="697" spans="48:49" x14ac:dyDescent="0.25">
      <c r="AV697" s="217"/>
      <c r="AW697" s="218"/>
    </row>
    <row r="698" spans="48:49" x14ac:dyDescent="0.25">
      <c r="AV698" s="217"/>
      <c r="AW698" s="218"/>
    </row>
    <row r="699" spans="48:49" x14ac:dyDescent="0.25">
      <c r="AV699" s="217"/>
      <c r="AW699" s="218"/>
    </row>
    <row r="700" spans="48:49" x14ac:dyDescent="0.25">
      <c r="AV700" s="217"/>
      <c r="AW700" s="218"/>
    </row>
    <row r="701" spans="48:49" x14ac:dyDescent="0.25">
      <c r="AV701" s="217"/>
      <c r="AW701" s="218"/>
    </row>
    <row r="702" spans="48:49" x14ac:dyDescent="0.25">
      <c r="AV702" s="217"/>
      <c r="AW702" s="218"/>
    </row>
    <row r="703" spans="48:49" x14ac:dyDescent="0.25">
      <c r="AV703" s="217"/>
      <c r="AW703" s="218"/>
    </row>
    <row r="704" spans="48:49" x14ac:dyDescent="0.25">
      <c r="AV704" s="217"/>
      <c r="AW704" s="218"/>
    </row>
    <row r="705" spans="48:49" x14ac:dyDescent="0.25">
      <c r="AV705" s="217"/>
      <c r="AW705" s="218"/>
    </row>
    <row r="706" spans="48:49" x14ac:dyDescent="0.25">
      <c r="AV706" s="217"/>
      <c r="AW706" s="218"/>
    </row>
    <row r="707" spans="48:49" x14ac:dyDescent="0.25">
      <c r="AV707" s="217"/>
      <c r="AW707" s="218"/>
    </row>
    <row r="708" spans="48:49" x14ac:dyDescent="0.25">
      <c r="AV708" s="217"/>
      <c r="AW708" s="218"/>
    </row>
    <row r="709" spans="48:49" x14ac:dyDescent="0.25">
      <c r="AV709" s="217"/>
      <c r="AW709" s="218"/>
    </row>
    <row r="710" spans="48:49" x14ac:dyDescent="0.25">
      <c r="AV710" s="217"/>
      <c r="AW710" s="218"/>
    </row>
    <row r="711" spans="48:49" x14ac:dyDescent="0.25">
      <c r="AV711" s="217"/>
      <c r="AW711" s="218"/>
    </row>
    <row r="712" spans="48:49" x14ac:dyDescent="0.25">
      <c r="AV712" s="217"/>
      <c r="AW712" s="218"/>
    </row>
    <row r="713" spans="48:49" x14ac:dyDescent="0.25">
      <c r="AV713" s="217"/>
      <c r="AW713" s="218"/>
    </row>
    <row r="714" spans="48:49" x14ac:dyDescent="0.25">
      <c r="AV714" s="217"/>
      <c r="AW714" s="218"/>
    </row>
    <row r="715" spans="48:49" x14ac:dyDescent="0.25">
      <c r="AV715" s="217"/>
      <c r="AW715" s="218"/>
    </row>
    <row r="716" spans="48:49" x14ac:dyDescent="0.25">
      <c r="AV716" s="217"/>
      <c r="AW716" s="218"/>
    </row>
    <row r="717" spans="48:49" x14ac:dyDescent="0.25">
      <c r="AV717" s="217"/>
      <c r="AW717" s="218"/>
    </row>
    <row r="718" spans="48:49" x14ac:dyDescent="0.25">
      <c r="AV718" s="217"/>
      <c r="AW718" s="218"/>
    </row>
    <row r="719" spans="48:49" x14ac:dyDescent="0.25">
      <c r="AV719" s="217"/>
      <c r="AW719" s="218"/>
    </row>
    <row r="720" spans="48:49" x14ac:dyDescent="0.25">
      <c r="AV720" s="217"/>
      <c r="AW720" s="218"/>
    </row>
    <row r="721" spans="48:49" x14ac:dyDescent="0.25">
      <c r="AV721" s="217"/>
      <c r="AW721" s="218"/>
    </row>
    <row r="722" spans="48:49" x14ac:dyDescent="0.25">
      <c r="AV722" s="217"/>
      <c r="AW722" s="218"/>
    </row>
    <row r="723" spans="48:49" x14ac:dyDescent="0.25">
      <c r="AV723" s="217"/>
      <c r="AW723" s="218"/>
    </row>
    <row r="724" spans="48:49" x14ac:dyDescent="0.25">
      <c r="AV724" s="217"/>
      <c r="AW724" s="218"/>
    </row>
    <row r="725" spans="48:49" x14ac:dyDescent="0.25">
      <c r="AV725" s="217"/>
      <c r="AW725" s="218"/>
    </row>
    <row r="726" spans="48:49" x14ac:dyDescent="0.25">
      <c r="AV726" s="217"/>
      <c r="AW726" s="218"/>
    </row>
    <row r="727" spans="48:49" x14ac:dyDescent="0.25">
      <c r="AV727" s="217"/>
      <c r="AW727" s="218"/>
    </row>
    <row r="728" spans="48:49" x14ac:dyDescent="0.25">
      <c r="AV728" s="217"/>
      <c r="AW728" s="218"/>
    </row>
    <row r="729" spans="48:49" x14ac:dyDescent="0.25">
      <c r="AV729" s="217"/>
      <c r="AW729" s="218"/>
    </row>
    <row r="730" spans="48:49" x14ac:dyDescent="0.25">
      <c r="AV730" s="217"/>
      <c r="AW730" s="218"/>
    </row>
    <row r="731" spans="48:49" x14ac:dyDescent="0.25">
      <c r="AV731" s="217"/>
      <c r="AW731" s="218"/>
    </row>
    <row r="732" spans="48:49" x14ac:dyDescent="0.25">
      <c r="AV732" s="217"/>
      <c r="AW732" s="218"/>
    </row>
    <row r="733" spans="48:49" x14ac:dyDescent="0.25">
      <c r="AV733" s="217"/>
      <c r="AW733" s="218"/>
    </row>
    <row r="734" spans="48:49" x14ac:dyDescent="0.25">
      <c r="AV734" s="217"/>
      <c r="AW734" s="218"/>
    </row>
    <row r="735" spans="48:49" x14ac:dyDescent="0.25">
      <c r="AV735" s="217"/>
      <c r="AW735" s="218"/>
    </row>
    <row r="736" spans="48:49" x14ac:dyDescent="0.25">
      <c r="AV736" s="217"/>
      <c r="AW736" s="218"/>
    </row>
    <row r="737" spans="48:49" x14ac:dyDescent="0.25">
      <c r="AV737" s="217"/>
      <c r="AW737" s="218"/>
    </row>
    <row r="738" spans="48:49" x14ac:dyDescent="0.25">
      <c r="AV738" s="217"/>
      <c r="AW738" s="218"/>
    </row>
    <row r="739" spans="48:49" x14ac:dyDescent="0.25">
      <c r="AV739" s="217"/>
      <c r="AW739" s="218"/>
    </row>
    <row r="740" spans="48:49" x14ac:dyDescent="0.25">
      <c r="AV740" s="217"/>
      <c r="AW740" s="218"/>
    </row>
    <row r="741" spans="48:49" x14ac:dyDescent="0.25">
      <c r="AV741" s="217"/>
      <c r="AW741" s="218"/>
    </row>
    <row r="742" spans="48:49" x14ac:dyDescent="0.25">
      <c r="AV742" s="217"/>
      <c r="AW742" s="218"/>
    </row>
    <row r="743" spans="48:49" x14ac:dyDescent="0.25">
      <c r="AV743" s="217"/>
      <c r="AW743" s="218"/>
    </row>
    <row r="744" spans="48:49" x14ac:dyDescent="0.25">
      <c r="AV744" s="217"/>
      <c r="AW744" s="218"/>
    </row>
    <row r="745" spans="48:49" x14ac:dyDescent="0.25">
      <c r="AV745" s="217"/>
      <c r="AW745" s="218"/>
    </row>
    <row r="746" spans="48:49" x14ac:dyDescent="0.25">
      <c r="AV746" s="217"/>
      <c r="AW746" s="218"/>
    </row>
    <row r="747" spans="48:49" x14ac:dyDescent="0.25">
      <c r="AV747" s="217"/>
      <c r="AW747" s="218"/>
    </row>
    <row r="748" spans="48:49" x14ac:dyDescent="0.25">
      <c r="AV748" s="217"/>
      <c r="AW748" s="218"/>
    </row>
    <row r="749" spans="48:49" x14ac:dyDescent="0.25">
      <c r="AV749" s="217"/>
      <c r="AW749" s="218"/>
    </row>
    <row r="750" spans="48:49" x14ac:dyDescent="0.25">
      <c r="AV750" s="217"/>
      <c r="AW750" s="218"/>
    </row>
    <row r="751" spans="48:49" x14ac:dyDescent="0.25">
      <c r="AV751" s="217"/>
      <c r="AW751" s="218"/>
    </row>
    <row r="752" spans="48:49" x14ac:dyDescent="0.25">
      <c r="AV752" s="217"/>
      <c r="AW752" s="218"/>
    </row>
    <row r="753" spans="48:49" x14ac:dyDescent="0.25">
      <c r="AV753" s="217"/>
      <c r="AW753" s="218"/>
    </row>
    <row r="754" spans="48:49" x14ac:dyDescent="0.25">
      <c r="AV754" s="217"/>
      <c r="AW754" s="218"/>
    </row>
    <row r="755" spans="48:49" x14ac:dyDescent="0.25">
      <c r="AV755" s="217"/>
      <c r="AW755" s="218"/>
    </row>
    <row r="756" spans="48:49" x14ac:dyDescent="0.25">
      <c r="AV756" s="217"/>
      <c r="AW756" s="218"/>
    </row>
    <row r="757" spans="48:49" x14ac:dyDescent="0.25">
      <c r="AV757" s="217"/>
      <c r="AW757" s="218"/>
    </row>
    <row r="758" spans="48:49" x14ac:dyDescent="0.25">
      <c r="AV758" s="217"/>
      <c r="AW758" s="218"/>
    </row>
    <row r="759" spans="48:49" x14ac:dyDescent="0.25">
      <c r="AV759" s="217"/>
      <c r="AW759" s="218"/>
    </row>
    <row r="760" spans="48:49" x14ac:dyDescent="0.25">
      <c r="AV760" s="217"/>
      <c r="AW760" s="218"/>
    </row>
    <row r="761" spans="48:49" x14ac:dyDescent="0.25">
      <c r="AV761" s="217"/>
      <c r="AW761" s="218"/>
    </row>
  </sheetData>
  <autoFilter ref="A1:BD268"/>
  <mergeCells count="16">
    <mergeCell ref="I2:I3"/>
    <mergeCell ref="BE2:BJ2"/>
    <mergeCell ref="M2:O2"/>
    <mergeCell ref="A1:A2"/>
    <mergeCell ref="B1:B2"/>
    <mergeCell ref="D1:D2"/>
    <mergeCell ref="E1:E2"/>
    <mergeCell ref="K2:K3"/>
    <mergeCell ref="L2:L3"/>
    <mergeCell ref="J2:J3"/>
    <mergeCell ref="H2:H3"/>
    <mergeCell ref="AY2:BD2"/>
    <mergeCell ref="AS2:AX2"/>
    <mergeCell ref="AA2:AF2"/>
    <mergeCell ref="AG2:AL2"/>
    <mergeCell ref="AM2:AR2"/>
  </mergeCells>
  <conditionalFormatting sqref="B3:C3">
    <cfRule type="duplicateValues" dxfId="238" priority="668" stopIfTrue="1"/>
  </conditionalFormatting>
  <conditionalFormatting sqref="B3:C3">
    <cfRule type="duplicateValues" dxfId="237" priority="669"/>
    <cfRule type="duplicateValues" dxfId="236" priority="670"/>
  </conditionalFormatting>
  <conditionalFormatting sqref="B1">
    <cfRule type="duplicateValues" dxfId="235" priority="665" stopIfTrue="1"/>
  </conditionalFormatting>
  <conditionalFormatting sqref="B1">
    <cfRule type="duplicateValues" dxfId="234" priority="666"/>
    <cfRule type="duplicateValues" dxfId="233" priority="667"/>
  </conditionalFormatting>
  <conditionalFormatting sqref="C1">
    <cfRule type="duplicateValues" dxfId="232" priority="662" stopIfTrue="1"/>
  </conditionalFormatting>
  <conditionalFormatting sqref="C1">
    <cfRule type="duplicateValues" dxfId="231" priority="663"/>
    <cfRule type="duplicateValues" dxfId="230" priority="664"/>
  </conditionalFormatting>
  <conditionalFormatting sqref="B235:C238">
    <cfRule type="duplicateValues" dxfId="229" priority="646" stopIfTrue="1"/>
  </conditionalFormatting>
  <conditionalFormatting sqref="B235:C238">
    <cfRule type="duplicateValues" dxfId="228" priority="647"/>
    <cfRule type="duplicateValues" dxfId="227" priority="648"/>
  </conditionalFormatting>
  <conditionalFormatting sqref="B226:C234">
    <cfRule type="duplicateValues" dxfId="226" priority="642" stopIfTrue="1"/>
  </conditionalFormatting>
  <conditionalFormatting sqref="B226:C234">
    <cfRule type="duplicateValues" dxfId="225" priority="643"/>
    <cfRule type="duplicateValues" dxfId="224" priority="644"/>
  </conditionalFormatting>
  <conditionalFormatting sqref="B223:C225 B4:C43 B79:C166 B76:B78 B74 C74:C78 B214:C217 B189:C212 B187:B188 C186:C188 B220:C221 B219 C218:C219 B46:C73 B168:C185">
    <cfRule type="duplicateValues" dxfId="223" priority="1851" stopIfTrue="1"/>
  </conditionalFormatting>
  <conditionalFormatting sqref="B223:C225 B4:C43 B79:C166 B76:B78 B74 C74:C78 B214:C217 B189:C212 B187:B188 C186:C188 B220:C221 B219 C218:C219 B46:C73 B168:C185">
    <cfRule type="duplicateValues" dxfId="222" priority="1856"/>
    <cfRule type="duplicateValues" dxfId="221" priority="1857"/>
  </conditionalFormatting>
  <conditionalFormatting sqref="B75">
    <cfRule type="duplicateValues" dxfId="220" priority="638" stopIfTrue="1"/>
  </conditionalFormatting>
  <conditionalFormatting sqref="B75">
    <cfRule type="duplicateValues" dxfId="219" priority="639"/>
    <cfRule type="duplicateValues" dxfId="218" priority="640"/>
  </conditionalFormatting>
  <conditionalFormatting sqref="B222">
    <cfRule type="duplicateValues" dxfId="217" priority="631" stopIfTrue="1"/>
  </conditionalFormatting>
  <conditionalFormatting sqref="B222">
    <cfRule type="duplicateValues" dxfId="216" priority="632"/>
    <cfRule type="duplicateValues" dxfId="215" priority="633"/>
  </conditionalFormatting>
  <conditionalFormatting sqref="C222">
    <cfRule type="duplicateValues" dxfId="214" priority="627" stopIfTrue="1"/>
  </conditionalFormatting>
  <conditionalFormatting sqref="C222">
    <cfRule type="duplicateValues" dxfId="213" priority="628"/>
    <cfRule type="duplicateValues" dxfId="212" priority="629"/>
  </conditionalFormatting>
  <conditionalFormatting sqref="B241:C241">
    <cfRule type="duplicateValues" dxfId="211" priority="614" stopIfTrue="1"/>
  </conditionalFormatting>
  <conditionalFormatting sqref="B241:C241">
    <cfRule type="duplicateValues" dxfId="210" priority="615"/>
    <cfRule type="duplicateValues" dxfId="209" priority="616"/>
  </conditionalFormatting>
  <conditionalFormatting sqref="B242:C248">
    <cfRule type="duplicateValues" dxfId="208" priority="2890" stopIfTrue="1"/>
  </conditionalFormatting>
  <conditionalFormatting sqref="B242:C248">
    <cfRule type="duplicateValues" dxfId="207" priority="2891"/>
    <cfRule type="duplicateValues" dxfId="206" priority="2892"/>
  </conditionalFormatting>
  <conditionalFormatting sqref="B249:C249">
    <cfRule type="duplicateValues" dxfId="205" priority="609" stopIfTrue="1"/>
  </conditionalFormatting>
  <conditionalFormatting sqref="B249:C249">
    <cfRule type="duplicateValues" dxfId="204" priority="610"/>
    <cfRule type="duplicateValues" dxfId="203" priority="611"/>
  </conditionalFormatting>
  <conditionalFormatting sqref="B250">
    <cfRule type="duplicateValues" dxfId="202" priority="604" stopIfTrue="1"/>
  </conditionalFormatting>
  <conditionalFormatting sqref="B250">
    <cfRule type="duplicateValues" dxfId="201" priority="605"/>
    <cfRule type="duplicateValues" dxfId="200" priority="606"/>
  </conditionalFormatting>
  <conditionalFormatting sqref="B251:C251">
    <cfRule type="duplicateValues" dxfId="199" priority="594" stopIfTrue="1"/>
  </conditionalFormatting>
  <conditionalFormatting sqref="B251:C251">
    <cfRule type="duplicateValues" dxfId="198" priority="595"/>
    <cfRule type="duplicateValues" dxfId="197" priority="596"/>
  </conditionalFormatting>
  <conditionalFormatting sqref="B252:C252">
    <cfRule type="duplicateValues" dxfId="196" priority="590" stopIfTrue="1"/>
  </conditionalFormatting>
  <conditionalFormatting sqref="B252:C252">
    <cfRule type="duplicateValues" dxfId="195" priority="591"/>
    <cfRule type="duplicateValues" dxfId="194" priority="592"/>
  </conditionalFormatting>
  <conditionalFormatting sqref="B253:C253">
    <cfRule type="duplicateValues" dxfId="193" priority="586" stopIfTrue="1"/>
  </conditionalFormatting>
  <conditionalFormatting sqref="B253:C253">
    <cfRule type="duplicateValues" dxfId="192" priority="587"/>
    <cfRule type="duplicateValues" dxfId="191" priority="588"/>
  </conditionalFormatting>
  <conditionalFormatting sqref="B254:C254">
    <cfRule type="duplicateValues" dxfId="190" priority="582" stopIfTrue="1"/>
  </conditionalFormatting>
  <conditionalFormatting sqref="B254:C254">
    <cfRule type="duplicateValues" dxfId="189" priority="583"/>
    <cfRule type="duplicateValues" dxfId="188" priority="584"/>
  </conditionalFormatting>
  <conditionalFormatting sqref="B213:C213">
    <cfRule type="duplicateValues" dxfId="187" priority="578" stopIfTrue="1"/>
  </conditionalFormatting>
  <conditionalFormatting sqref="B213:C213">
    <cfRule type="duplicateValues" dxfId="186" priority="579"/>
    <cfRule type="duplicateValues" dxfId="185" priority="580"/>
  </conditionalFormatting>
  <conditionalFormatting sqref="AF4:AF43 AR112:AR239 AL112:AL239 AX69:AX239 BD48:BD239 AF112:AF239 AF241:AF263 BD241:BD263 AX241:AX263 AL241:AL263 AR241:AR263 AF46:AF110 AR46:AR110 AL46:AL110 AX46:AX67">
    <cfRule type="expression" dxfId="184" priority="571">
      <formula>OR(AF4="DEFINIR FORNECEDOR",AF4="DEFINIR FREÇO")</formula>
    </cfRule>
  </conditionalFormatting>
  <conditionalFormatting sqref="AF4:AF43 AR112:AR239 AL112:AL239 AX69:AX239 BD48:BD239 AF112:AF239 AF241:AF263 BD241:BD263 AX241:AX263 AL241:AL263 AR241:AR263 AF46:AF110 AR46:AR110 AL46:AL110 AX46:AX67">
    <cfRule type="containsText" dxfId="183" priority="570" operator="containsText" text="DEFINIR PREÇO">
      <formula>NOT(ISERROR(SEARCH("DEFINIR PREÇO",AF4)))</formula>
    </cfRule>
  </conditionalFormatting>
  <conditionalFormatting sqref="J2">
    <cfRule type="duplicateValues" dxfId="182" priority="2893" stopIfTrue="1"/>
  </conditionalFormatting>
  <conditionalFormatting sqref="J2">
    <cfRule type="duplicateValues" dxfId="181" priority="2894"/>
    <cfRule type="duplicateValues" dxfId="180" priority="2895"/>
  </conditionalFormatting>
  <conditionalFormatting sqref="B186">
    <cfRule type="duplicateValues" dxfId="179" priority="299" stopIfTrue="1"/>
  </conditionalFormatting>
  <conditionalFormatting sqref="B186">
    <cfRule type="duplicateValues" dxfId="178" priority="300"/>
    <cfRule type="duplicateValues" dxfId="177" priority="301"/>
  </conditionalFormatting>
  <conditionalFormatting sqref="B218">
    <cfRule type="duplicateValues" dxfId="176" priority="293" stopIfTrue="1"/>
  </conditionalFormatting>
  <conditionalFormatting sqref="B218">
    <cfRule type="duplicateValues" dxfId="175" priority="294"/>
    <cfRule type="duplicateValues" dxfId="174" priority="295"/>
  </conditionalFormatting>
  <conditionalFormatting sqref="B255:C259 C261">
    <cfRule type="duplicateValues" dxfId="173" priority="287" stopIfTrue="1"/>
  </conditionalFormatting>
  <conditionalFormatting sqref="B255:C259 C261">
    <cfRule type="duplicateValues" dxfId="172" priority="288"/>
    <cfRule type="duplicateValues" dxfId="171" priority="289"/>
  </conditionalFormatting>
  <conditionalFormatting sqref="B260:C260">
    <cfRule type="duplicateValues" dxfId="170" priority="277" stopIfTrue="1"/>
  </conditionalFormatting>
  <conditionalFormatting sqref="B260:C260">
    <cfRule type="duplicateValues" dxfId="169" priority="278"/>
    <cfRule type="duplicateValues" dxfId="168" priority="279"/>
  </conditionalFormatting>
  <conditionalFormatting sqref="B261">
    <cfRule type="duplicateValues" dxfId="167" priority="263" stopIfTrue="1"/>
  </conditionalFormatting>
  <conditionalFormatting sqref="B261">
    <cfRule type="duplicateValues" dxfId="166" priority="264"/>
    <cfRule type="duplicateValues" dxfId="165" priority="265"/>
  </conditionalFormatting>
  <conditionalFormatting sqref="C262">
    <cfRule type="duplicateValues" dxfId="164" priority="255" stopIfTrue="1"/>
  </conditionalFormatting>
  <conditionalFormatting sqref="C262">
    <cfRule type="duplicateValues" dxfId="163" priority="256"/>
    <cfRule type="duplicateValues" dxfId="162" priority="257"/>
  </conditionalFormatting>
  <conditionalFormatting sqref="B262">
    <cfRule type="duplicateValues" dxfId="161" priority="250" stopIfTrue="1"/>
  </conditionalFormatting>
  <conditionalFormatting sqref="B262">
    <cfRule type="duplicateValues" dxfId="160" priority="251"/>
    <cfRule type="duplicateValues" dxfId="159" priority="252"/>
  </conditionalFormatting>
  <conditionalFormatting sqref="C263">
    <cfRule type="duplicateValues" dxfId="158" priority="228" stopIfTrue="1"/>
  </conditionalFormatting>
  <conditionalFormatting sqref="C263">
    <cfRule type="duplicateValues" dxfId="157" priority="229"/>
    <cfRule type="duplicateValues" dxfId="156" priority="230"/>
  </conditionalFormatting>
  <conditionalFormatting sqref="B263">
    <cfRule type="duplicateValues" dxfId="155" priority="225" stopIfTrue="1"/>
  </conditionalFormatting>
  <conditionalFormatting sqref="B263">
    <cfRule type="duplicateValues" dxfId="154" priority="226"/>
    <cfRule type="duplicateValues" dxfId="153" priority="227"/>
  </conditionalFormatting>
  <conditionalFormatting sqref="AR4:AR43">
    <cfRule type="expression" dxfId="152" priority="127">
      <formula>OR(AR4="DEFINIR FORNECEDOR",AR4="DEFINIR FREÇO")</formula>
    </cfRule>
  </conditionalFormatting>
  <conditionalFormatting sqref="AR4:AR43">
    <cfRule type="containsText" dxfId="151" priority="126" operator="containsText" text="DEFINIR PREÇO">
      <formula>NOT(ISERROR(SEARCH("DEFINIR PREÇO",AR4)))</formula>
    </cfRule>
  </conditionalFormatting>
  <conditionalFormatting sqref="B239:C239">
    <cfRule type="duplicateValues" dxfId="150" priority="162" stopIfTrue="1"/>
  </conditionalFormatting>
  <conditionalFormatting sqref="B239:C239">
    <cfRule type="duplicateValues" dxfId="149" priority="163"/>
    <cfRule type="duplicateValues" dxfId="148" priority="164"/>
  </conditionalFormatting>
  <conditionalFormatting sqref="AG255:AG263 AG253 AG246:AG249 AG102:AG108 AG110 AG49:AG100 AG4:AG6 AG27:AG43 AG279:AG333 AM212:AM239 AM115:AM124 AM102:AM108 AM110 AM4:AM6 AM27:AM43 AM279:AM291 AS17:AS43 AS279:AS617 AG115:AG177 AM126:AM177 AG179:AG184 AM179:AM210 AG187:AG239 AG251 AM251 AS69:AS239 AS241:AS263 AG241:AG244 AM241:AM249 AS46:AS67 AM46:AM100 AG46:AG47 AY46:AY133">
    <cfRule type="expression" dxfId="147" priority="160">
      <formula>AND(AG4&lt;&gt;$Z4,AG4&lt;&gt;$AA4,AG4&lt;&gt;$AB4,AG4&lt;&gt;$AC4,AG4&lt;&gt;$AD4,AG4&lt;&gt;$AY4)</formula>
    </cfRule>
  </conditionalFormatting>
  <conditionalFormatting sqref="AG254">
    <cfRule type="expression" dxfId="146" priority="159">
      <formula>AND(AG254&lt;&gt;$Z254,AG254&lt;&gt;$AA254,AG254&lt;&gt;$AB254,AG254&lt;&gt;$AC254,AG254&lt;&gt;$AD254,AG254&lt;&gt;$AE254)</formula>
    </cfRule>
  </conditionalFormatting>
  <conditionalFormatting sqref="AG252">
    <cfRule type="expression" dxfId="145" priority="158">
      <formula>AND(AG252&lt;&gt;$Z252,AG252&lt;&gt;$AA252,AG252&lt;&gt;$AB252,AG252&lt;&gt;$AC252,AG252&lt;&gt;$AD252,AG252&lt;&gt;$AY252)</formula>
    </cfRule>
  </conditionalFormatting>
  <conditionalFormatting sqref="AG245">
    <cfRule type="expression" dxfId="144" priority="157">
      <formula>AND(AG245&lt;&gt;$Z245,AG245&lt;&gt;$AA245,AG245&lt;&gt;$AB245,AG245&lt;&gt;$AC245,AG245&lt;&gt;$AD245,AG245&lt;&gt;$AE245)</formula>
    </cfRule>
  </conditionalFormatting>
  <conditionalFormatting sqref="AG250">
    <cfRule type="expression" dxfId="143" priority="156">
      <formula>AND(AG250&lt;&gt;$Z250,AG250&lt;&gt;$AA250,AG250&lt;&gt;$AB250,AG250&lt;&gt;$AC250,AG250&lt;&gt;$AD250,AG250&lt;&gt;$AY250)</formula>
    </cfRule>
  </conditionalFormatting>
  <conditionalFormatting sqref="AG113">
    <cfRule type="expression" dxfId="142" priority="155">
      <formula>AND(AG113&lt;&gt;$Z113,AG113&lt;&gt;$AA113,AG113&lt;&gt;$AB113,AG113&lt;&gt;$AC113,AG113&lt;&gt;$AD113,AG113&lt;&gt;$AY113)</formula>
    </cfRule>
  </conditionalFormatting>
  <conditionalFormatting sqref="AG178">
    <cfRule type="expression" dxfId="141" priority="154">
      <formula>AND(AG178&lt;&gt;$Z178,AG178&lt;&gt;$AA178,AG178&lt;&gt;$AB178,AG178&lt;&gt;$AC178,AG178&lt;&gt;$AD178,AG178&lt;&gt;$AY178)</formula>
    </cfRule>
  </conditionalFormatting>
  <conditionalFormatting sqref="AG112">
    <cfRule type="expression" dxfId="140" priority="153">
      <formula>AND(AG112&lt;&gt;$Z112,AG112&lt;&gt;$AA112,AG112&lt;&gt;$AB112,AG112&lt;&gt;$AC112,AG112&lt;&gt;$AD112,AG112&lt;&gt;$AY112)</formula>
    </cfRule>
  </conditionalFormatting>
  <conditionalFormatting sqref="AG101">
    <cfRule type="expression" dxfId="139" priority="152">
      <formula>AND(AG101&lt;&gt;$Z101,AG101&lt;&gt;$AA101,AG101&lt;&gt;$AB101,AG101&lt;&gt;$AC101,AG101&lt;&gt;$AD101,AG101&lt;&gt;$AY101)</formula>
    </cfRule>
  </conditionalFormatting>
  <conditionalFormatting sqref="AM250">
    <cfRule type="expression" dxfId="138" priority="142">
      <formula>AND(AM250&lt;&gt;$Z250,AM250&lt;&gt;$AA250,AM250&lt;&gt;$AB250,AM250&lt;&gt;$AC250,AM250&lt;&gt;$AD250,AM250&lt;&gt;$AY250)</formula>
    </cfRule>
  </conditionalFormatting>
  <conditionalFormatting sqref="AG109">
    <cfRule type="expression" dxfId="137" priority="150">
      <formula>AND(AG109&lt;&gt;$Z109,AG109&lt;&gt;$AA109,AG109&lt;&gt;$AB109,AG109&lt;&gt;$AC109,AG109&lt;&gt;$AD109,AG109&lt;&gt;$AY109)</formula>
    </cfRule>
  </conditionalFormatting>
  <conditionalFormatting sqref="AG48">
    <cfRule type="expression" dxfId="136" priority="149">
      <formula>AND(AG48&lt;&gt;$Z48,AG48&lt;&gt;$AA48,AG48&lt;&gt;$AB48,AG48&lt;&gt;$AC48,AG48&lt;&gt;$AD48,AG48&lt;&gt;$AE48)</formula>
    </cfRule>
  </conditionalFormatting>
  <conditionalFormatting sqref="AG114">
    <cfRule type="expression" dxfId="135" priority="148">
      <formula>AND(AG114&lt;&gt;$Z114,AG114&lt;&gt;$AA114,AG114&lt;&gt;$AB114,AG114&lt;&gt;$AC114,AG114&lt;&gt;$AD114,AG114&lt;&gt;$AE114)</formula>
    </cfRule>
  </conditionalFormatting>
  <conditionalFormatting sqref="AG7:AG26">
    <cfRule type="expression" dxfId="134" priority="147">
      <formula>AND(AG7&lt;&gt;$Z7,AG7&lt;&gt;$AA7,AG7&lt;&gt;$AB7,AG7&lt;&gt;$AC7,AG7&lt;&gt;$AD7,AG7&lt;&gt;$AY7)</formula>
    </cfRule>
  </conditionalFormatting>
  <conditionalFormatting sqref="AL4:AL43">
    <cfRule type="expression" dxfId="133" priority="146">
      <formula>OR(AL4="DEFINIR FORNECEDOR",AL4="DEFINIR FREÇO")</formula>
    </cfRule>
  </conditionalFormatting>
  <conditionalFormatting sqref="AL4:AL43">
    <cfRule type="containsText" dxfId="132" priority="145" operator="containsText" text="DEFINIR PREÇO">
      <formula>NOT(ISERROR(SEARCH("DEFINIR PREÇO",AL4)))</formula>
    </cfRule>
  </conditionalFormatting>
  <conditionalFormatting sqref="AM253:AM263">
    <cfRule type="expression" dxfId="131" priority="144">
      <formula>AND(AM253&lt;&gt;$Z253,AM253&lt;&gt;$AA253,AM253&lt;&gt;$AB253,AM253&lt;&gt;$AC253,AM253&lt;&gt;$AD253,AM253&lt;&gt;$AY253)</formula>
    </cfRule>
  </conditionalFormatting>
  <conditionalFormatting sqref="AM252">
    <cfRule type="expression" dxfId="130" priority="143">
      <formula>AND(AM252&lt;&gt;$Z252,AM252&lt;&gt;$AA252,AM252&lt;&gt;$AB252,AM252&lt;&gt;$AC252,AM252&lt;&gt;$AD252,AM252&lt;&gt;$AY252)</formula>
    </cfRule>
  </conditionalFormatting>
  <conditionalFormatting sqref="AM211">
    <cfRule type="expression" dxfId="129" priority="141">
      <formula>AND(AM211&lt;&gt;$Z211,AM211&lt;&gt;$AA211,AM211&lt;&gt;$AB211,AM211&lt;&gt;$AC211,AM211&lt;&gt;$AD211,AM211&lt;&gt;$AY211)</formula>
    </cfRule>
  </conditionalFormatting>
  <conditionalFormatting sqref="AM113">
    <cfRule type="expression" dxfId="128" priority="140">
      <formula>AND(AM113&lt;&gt;$Z113,AM113&lt;&gt;$AA113,AM113&lt;&gt;$AB113,AM113&lt;&gt;$AC113,AM113&lt;&gt;$AD113,AM113&lt;&gt;$AY113)</formula>
    </cfRule>
  </conditionalFormatting>
  <conditionalFormatting sqref="AM178">
    <cfRule type="expression" dxfId="127" priority="139">
      <formula>AND(AM178&lt;&gt;$Z178,AM178&lt;&gt;$AA178,AM178&lt;&gt;$AB178,AM178&lt;&gt;$AC178,AM178&lt;&gt;$AD178,AM178&lt;&gt;$AY178)</formula>
    </cfRule>
  </conditionalFormatting>
  <conditionalFormatting sqref="AM112">
    <cfRule type="expression" dxfId="126" priority="138">
      <formula>AND(AM112&lt;&gt;$Z112,AM112&lt;&gt;$AA112,AM112&lt;&gt;$AB112,AM112&lt;&gt;$AC112,AM112&lt;&gt;$AD112,AM112&lt;&gt;$AY112)</formula>
    </cfRule>
  </conditionalFormatting>
  <conditionalFormatting sqref="AM114">
    <cfRule type="expression" dxfId="125" priority="137">
      <formula>AND(AM114&lt;&gt;$Z114,AM114&lt;&gt;$AA114,AM114&lt;&gt;$AB114,AM114&lt;&gt;$AC114,AM114&lt;&gt;$AD114,AM114&lt;&gt;$AY114)</formula>
    </cfRule>
  </conditionalFormatting>
  <conditionalFormatting sqref="AM101">
    <cfRule type="expression" dxfId="124" priority="135">
      <formula>AND(AM101&lt;&gt;$Z101,AM101&lt;&gt;$AA101,AM101&lt;&gt;$AB101,AM101&lt;&gt;$AC101,AM101&lt;&gt;$AD101,AM101&lt;&gt;$AY101)</formula>
    </cfRule>
  </conditionalFormatting>
  <conditionalFormatting sqref="AM125">
    <cfRule type="expression" dxfId="123" priority="134">
      <formula>AND(AM125&lt;&gt;$Z125,AM125&lt;&gt;$AA125,AM125&lt;&gt;$AB125,AM125&lt;&gt;$AC125,AM125&lt;&gt;$AD125,AM125&lt;&gt;$AE125)</formula>
    </cfRule>
  </conditionalFormatting>
  <conditionalFormatting sqref="AM109">
    <cfRule type="expression" dxfId="122" priority="133">
      <formula>AND(AM109&lt;&gt;$Z109,AM109&lt;&gt;$AA109,AM109&lt;&gt;$AB109,AM109&lt;&gt;$AC109,AM109&lt;&gt;$AD109,AM109&lt;&gt;$AY109)</formula>
    </cfRule>
  </conditionalFormatting>
  <conditionalFormatting sqref="AM16:AM26">
    <cfRule type="expression" dxfId="121" priority="132">
      <formula>AND(AM16&lt;&gt;$Z16,AM16&lt;&gt;$AA16,AM16&lt;&gt;$AB16,AM16&lt;&gt;$AC16,AM16&lt;&gt;$AD16,AM16&lt;&gt;$AY16)</formula>
    </cfRule>
  </conditionalFormatting>
  <conditionalFormatting sqref="AM7">
    <cfRule type="expression" dxfId="120" priority="131">
      <formula>AND(AM7&lt;&gt;$Z7,AM7&lt;&gt;$AA7,AM7&lt;&gt;$AB7,AM7&lt;&gt;$AC7,AM7&lt;&gt;$AD7,AM7&lt;&gt;$AY7)</formula>
    </cfRule>
  </conditionalFormatting>
  <conditionalFormatting sqref="AM7:AM15">
    <cfRule type="expression" dxfId="119" priority="130">
      <formula>AND(AM7&lt;&gt;$Z7,AM7&lt;&gt;$AA7,AM7&lt;&gt;$AB7,AM7&lt;&gt;$AC7,AM7&lt;&gt;$AD7,AM7&lt;&gt;$AY7)</formula>
    </cfRule>
  </conditionalFormatting>
  <conditionalFormatting sqref="AS4:AS7">
    <cfRule type="expression" dxfId="118" priority="129">
      <formula>AND(AS4&lt;&gt;$Z4,AS4&lt;&gt;$AA4,AS4&lt;&gt;$AB4,AS4&lt;&gt;$AC4,AS4&lt;&gt;$AD4,AS4&lt;&gt;$AY4)</formula>
    </cfRule>
  </conditionalFormatting>
  <conditionalFormatting sqref="AS7:AS16">
    <cfRule type="expression" dxfId="117" priority="128">
      <formula>AND(AS7&lt;&gt;$Z7,AS7&lt;&gt;$AA7,AS7&lt;&gt;$AB7,AS7&lt;&gt;$AC7,AS7&lt;&gt;$AD7,AS7&lt;&gt;$AY7)</formula>
    </cfRule>
  </conditionalFormatting>
  <conditionalFormatting sqref="AX4:AX43">
    <cfRule type="expression" dxfId="116" priority="125">
      <formula>OR(AX4="DEFINIR FORNECEDOR",AX4="DEFINIR FREÇO")</formula>
    </cfRule>
  </conditionalFormatting>
  <conditionalFormatting sqref="AX4:AX43">
    <cfRule type="containsText" dxfId="115" priority="124" operator="containsText" text="DEFINIR PREÇO">
      <formula>NOT(ISERROR(SEARCH("DEFINIR PREÇO",AX4)))</formula>
    </cfRule>
  </conditionalFormatting>
  <conditionalFormatting sqref="AY4:AY43">
    <cfRule type="expression" dxfId="114" priority="123">
      <formula>AND(AY4&lt;&gt;$Z4,AY4&lt;&gt;$AA4,AY4&lt;&gt;$AB4,AY4&lt;&gt;$AC4,AY4&lt;&gt;$AD4,AY4&lt;&gt;$AY4)</formula>
    </cfRule>
  </conditionalFormatting>
  <conditionalFormatting sqref="BD5:BD43 BD46">
    <cfRule type="expression" dxfId="113" priority="122">
      <formula>OR(BD5="DEFINIR FORNECEDOR",BD5="DEFINIR FREÇO")</formula>
    </cfRule>
  </conditionalFormatting>
  <conditionalFormatting sqref="BD5:BD43 BD46">
    <cfRule type="containsText" dxfId="112" priority="121" operator="containsText" text="DEFINIR PREÇO">
      <formula>NOT(ISERROR(SEARCH("DEFINIR PREÇO",BD5)))</formula>
    </cfRule>
  </conditionalFormatting>
  <conditionalFormatting sqref="AF264:AF278">
    <cfRule type="expression" dxfId="111" priority="120">
      <formula>OR(AF264="DEFINIR FORNECEDOR",AF264="DEFINIR FREÇO")</formula>
    </cfRule>
  </conditionalFormatting>
  <conditionalFormatting sqref="AF264:AF278">
    <cfRule type="containsText" dxfId="110" priority="119" operator="containsText" text="DEFINIR PREÇO">
      <formula>NOT(ISERROR(SEARCH("DEFINIR PREÇO",AF264)))</formula>
    </cfRule>
  </conditionalFormatting>
  <conditionalFormatting sqref="C264:C278">
    <cfRule type="duplicateValues" dxfId="109" priority="116" stopIfTrue="1"/>
  </conditionalFormatting>
  <conditionalFormatting sqref="C264:C278">
    <cfRule type="duplicateValues" dxfId="108" priority="117"/>
    <cfRule type="duplicateValues" dxfId="107" priority="118"/>
  </conditionalFormatting>
  <conditionalFormatting sqref="B264:B278">
    <cfRule type="duplicateValues" dxfId="106" priority="113" stopIfTrue="1"/>
  </conditionalFormatting>
  <conditionalFormatting sqref="B264:B278">
    <cfRule type="duplicateValues" dxfId="105" priority="114"/>
    <cfRule type="duplicateValues" dxfId="104" priority="115"/>
  </conditionalFormatting>
  <conditionalFormatting sqref="J268:J278">
    <cfRule type="cellIs" dxfId="103" priority="112" operator="equal">
      <formula>"SEM PREÇO"</formula>
    </cfRule>
  </conditionalFormatting>
  <conditionalFormatting sqref="AG264:AG278">
    <cfRule type="expression" dxfId="102" priority="111">
      <formula>AND(AG264&lt;&gt;$Z264,AG264&lt;&gt;$AA264,AG264&lt;&gt;$AB264,AG264&lt;&gt;$AC264,AG264&lt;&gt;$AD264,AG264&lt;&gt;$AY264)</formula>
    </cfRule>
  </conditionalFormatting>
  <conditionalFormatting sqref="AL264:AL278">
    <cfRule type="expression" dxfId="101" priority="110">
      <formula>OR(AL264="DEFINIR FORNECEDOR",AL264="DEFINIR FREÇO")</formula>
    </cfRule>
  </conditionalFormatting>
  <conditionalFormatting sqref="AL264:AL278">
    <cfRule type="containsText" dxfId="100" priority="109" operator="containsText" text="DEFINIR PREÇO">
      <formula>NOT(ISERROR(SEARCH("DEFINIR PREÇO",AL264)))</formula>
    </cfRule>
  </conditionalFormatting>
  <conditionalFormatting sqref="AM264:AM278">
    <cfRule type="expression" dxfId="99" priority="108">
      <formula>AND(AM264&lt;&gt;$Z264,AM264&lt;&gt;$AA264,AM264&lt;&gt;$AB264,AM264&lt;&gt;$AC264,AM264&lt;&gt;$AD264,AM264&lt;&gt;$AY264)</formula>
    </cfRule>
  </conditionalFormatting>
  <conditionalFormatting sqref="AS264:AS278">
    <cfRule type="expression" dxfId="98" priority="107">
      <formula>AND(AS264&lt;&gt;$Z264,AS264&lt;&gt;$AA264,AS264&lt;&gt;$AB264,AS264&lt;&gt;$AC264,AS264&lt;&gt;$AD264,AS264&lt;&gt;$AY264)</formula>
    </cfRule>
  </conditionalFormatting>
  <conditionalFormatting sqref="AR264:AR278">
    <cfRule type="expression" dxfId="97" priority="106">
      <formula>OR(AR264="DEFINIR FORNECEDOR",AR264="DEFINIR FREÇO")</formula>
    </cfRule>
  </conditionalFormatting>
  <conditionalFormatting sqref="AR264:AR278">
    <cfRule type="containsText" dxfId="96" priority="105" operator="containsText" text="DEFINIR PREÇO">
      <formula>NOT(ISERROR(SEARCH("DEFINIR PREÇO",AR264)))</formula>
    </cfRule>
  </conditionalFormatting>
  <conditionalFormatting sqref="AX264:AX278">
    <cfRule type="expression" dxfId="95" priority="104">
      <formula>OR(AX264="DEFINIR FORNECEDOR",AX264="DEFINIR FREÇO")</formula>
    </cfRule>
  </conditionalFormatting>
  <conditionalFormatting sqref="AX264:AX278">
    <cfRule type="containsText" dxfId="94" priority="103" operator="containsText" text="DEFINIR PREÇO">
      <formula>NOT(ISERROR(SEARCH("DEFINIR PREÇO",AX264)))</formula>
    </cfRule>
  </conditionalFormatting>
  <conditionalFormatting sqref="BD264:BD278">
    <cfRule type="expression" dxfId="93" priority="102">
      <formula>OR(BD264="DEFINIR FORNECEDOR",BD264="DEFINIR FREÇO")</formula>
    </cfRule>
  </conditionalFormatting>
  <conditionalFormatting sqref="BD264:BD278">
    <cfRule type="containsText" dxfId="92" priority="101" operator="containsText" text="DEFINIR PREÇO">
      <formula>NOT(ISERROR(SEARCH("DEFINIR PREÇO",BD264)))</formula>
    </cfRule>
  </conditionalFormatting>
  <conditionalFormatting sqref="K2">
    <cfRule type="duplicateValues" dxfId="91" priority="95" stopIfTrue="1"/>
  </conditionalFormatting>
  <conditionalFormatting sqref="K2">
    <cfRule type="duplicateValues" dxfId="90" priority="96"/>
    <cfRule type="duplicateValues" dxfId="89" priority="97"/>
  </conditionalFormatting>
  <conditionalFormatting sqref="I2">
    <cfRule type="duplicateValues" dxfId="88" priority="92" stopIfTrue="1"/>
  </conditionalFormatting>
  <conditionalFormatting sqref="I2">
    <cfRule type="duplicateValues" dxfId="87" priority="93"/>
    <cfRule type="duplicateValues" dxfId="86" priority="94"/>
  </conditionalFormatting>
  <conditionalFormatting sqref="H2">
    <cfRule type="duplicateValues" dxfId="85" priority="89" stopIfTrue="1"/>
  </conditionalFormatting>
  <conditionalFormatting sqref="H2">
    <cfRule type="duplicateValues" dxfId="84" priority="90"/>
    <cfRule type="duplicateValues" dxfId="83" priority="91"/>
  </conditionalFormatting>
  <conditionalFormatting sqref="J4:J30 J32:J43 J190:J209 J211:J239 J257:J267 J112:J188 J242:J255 J46:J103">
    <cfRule type="cellIs" dxfId="82" priority="88" operator="equal">
      <formula>"SEM PREÇO"</formula>
    </cfRule>
  </conditionalFormatting>
  <conditionalFormatting sqref="J4:J30 J32:J43 J190:J209 J211:J239 J257:J267 J112:J188 J242:J255 J46:J103">
    <cfRule type="expression" dxfId="81" priority="85">
      <formula>COUNT($V4,$W4,$X4,$Y4,$Z4,$AA4)=1</formula>
    </cfRule>
    <cfRule type="expression" dxfId="80" priority="86">
      <formula>COUNT($V4,$W4,$X4,$Y4,$Z4,$AA4)=2</formula>
    </cfRule>
    <cfRule type="expression" dxfId="79" priority="87">
      <formula>COUNT($V4,$W4,$X4,$Y4,$Z4,$AA4)&gt;=3</formula>
    </cfRule>
  </conditionalFormatting>
  <conditionalFormatting sqref="BD47">
    <cfRule type="expression" dxfId="78" priority="84">
      <formula>OR(BD47="DEFINIR FORNECEDOR",BD47="DEFINIR FREÇO")</formula>
    </cfRule>
  </conditionalFormatting>
  <conditionalFormatting sqref="BD47">
    <cfRule type="containsText" dxfId="77" priority="83" operator="containsText" text="DEFINIR PREÇO">
      <formula>NOT(ISERROR(SEARCH("DEFINIR PREÇO",BD47)))</formula>
    </cfRule>
  </conditionalFormatting>
  <conditionalFormatting sqref="L241:L278 L4:L44 L46:L239">
    <cfRule type="cellIs" dxfId="76" priority="82" operator="greaterThan">
      <formula>0.25</formula>
    </cfRule>
  </conditionalFormatting>
  <conditionalFormatting sqref="AS68">
    <cfRule type="expression" dxfId="75" priority="81">
      <formula>AND(AS68&lt;&gt;$Z68,AS68&lt;&gt;$AA68,AS68&lt;&gt;$AB68,AS68&lt;&gt;$AC68,AS68&lt;&gt;$AD68,AS68&lt;&gt;$AY68)</formula>
    </cfRule>
  </conditionalFormatting>
  <conditionalFormatting sqref="AX68">
    <cfRule type="expression" dxfId="74" priority="80">
      <formula>OR(AX68="DEFINIR FORNECEDOR",AX68="DEFINIR FREÇO")</formula>
    </cfRule>
  </conditionalFormatting>
  <conditionalFormatting sqref="AX68">
    <cfRule type="containsText" dxfId="73" priority="79" operator="containsText" text="DEFINIR PREÇO">
      <formula>NOT(ISERROR(SEARCH("DEFINIR PREÇO",AX68)))</formula>
    </cfRule>
  </conditionalFormatting>
  <conditionalFormatting sqref="AF111">
    <cfRule type="expression" dxfId="72" priority="78">
      <formula>OR(AF111="DEFINIR FORNECEDOR",AF111="DEFINIR FREÇO")</formula>
    </cfRule>
  </conditionalFormatting>
  <conditionalFormatting sqref="AF111">
    <cfRule type="containsText" dxfId="71" priority="77" operator="containsText" text="DEFINIR PREÇO">
      <formula>NOT(ISERROR(SEARCH("DEFINIR PREÇO",AF111)))</formula>
    </cfRule>
  </conditionalFormatting>
  <conditionalFormatting sqref="AR111">
    <cfRule type="expression" dxfId="70" priority="72">
      <formula>OR(AR111="DEFINIR FORNECEDOR",AR111="DEFINIR FREÇO")</formula>
    </cfRule>
  </conditionalFormatting>
  <conditionalFormatting sqref="AR111">
    <cfRule type="containsText" dxfId="69" priority="71" operator="containsText" text="DEFINIR PREÇO">
      <formula>NOT(ISERROR(SEARCH("DEFINIR PREÇO",AR111)))</formula>
    </cfRule>
  </conditionalFormatting>
  <conditionalFormatting sqref="AG111">
    <cfRule type="expression" dxfId="68" priority="76">
      <formula>AND(AG111&lt;&gt;$Z111,AG111&lt;&gt;$AA111,AG111&lt;&gt;$AB111,AG111&lt;&gt;$AC111,AG111&lt;&gt;$AD111,AG111&lt;&gt;$AY111)</formula>
    </cfRule>
  </conditionalFormatting>
  <conditionalFormatting sqref="AL111">
    <cfRule type="expression" dxfId="67" priority="75">
      <formula>OR(AL111="DEFINIR FORNECEDOR",AL111="DEFINIR FREÇO")</formula>
    </cfRule>
  </conditionalFormatting>
  <conditionalFormatting sqref="AL111">
    <cfRule type="containsText" dxfId="66" priority="74" operator="containsText" text="DEFINIR PREÇO">
      <formula>NOT(ISERROR(SEARCH("DEFINIR PREÇO",AL111)))</formula>
    </cfRule>
  </conditionalFormatting>
  <conditionalFormatting sqref="AM111">
    <cfRule type="expression" dxfId="65" priority="73">
      <formula>AND(AM111&lt;&gt;$Z111,AM111&lt;&gt;$AA111,AM111&lt;&gt;$AB111,AM111&lt;&gt;$AC111,AM111&lt;&gt;$AD111,AM111&lt;&gt;$AY111)</formula>
    </cfRule>
  </conditionalFormatting>
  <conditionalFormatting sqref="J31">
    <cfRule type="cellIs" dxfId="64" priority="70" operator="equal">
      <formula>"SEM PREÇO"</formula>
    </cfRule>
  </conditionalFormatting>
  <conditionalFormatting sqref="J189">
    <cfRule type="cellIs" dxfId="63" priority="68" operator="equal">
      <formula>"SEM PREÇO"</formula>
    </cfRule>
  </conditionalFormatting>
  <conditionalFormatting sqref="J210">
    <cfRule type="cellIs" dxfId="62" priority="63" operator="equal">
      <formula>"SEM PREÇO"</formula>
    </cfRule>
  </conditionalFormatting>
  <conditionalFormatting sqref="J241">
    <cfRule type="cellIs" dxfId="61" priority="62" operator="equal">
      <formula>"SEM PREÇO"</formula>
    </cfRule>
  </conditionalFormatting>
  <conditionalFormatting sqref="J256">
    <cfRule type="cellIs" dxfId="60" priority="61" operator="equal">
      <formula>"SEM PREÇO"</formula>
    </cfRule>
  </conditionalFormatting>
  <conditionalFormatting sqref="B44:C44">
    <cfRule type="duplicateValues" dxfId="59" priority="58" stopIfTrue="1"/>
  </conditionalFormatting>
  <conditionalFormatting sqref="B44:C44">
    <cfRule type="duplicateValues" dxfId="58" priority="59"/>
    <cfRule type="duplicateValues" dxfId="57" priority="60"/>
  </conditionalFormatting>
  <conditionalFormatting sqref="AF44">
    <cfRule type="expression" dxfId="56" priority="57">
      <formula>OR(AF44="DEFINIR FORNECEDOR",AF44="DEFINIR FREÇO")</formula>
    </cfRule>
  </conditionalFormatting>
  <conditionalFormatting sqref="AF44">
    <cfRule type="containsText" dxfId="55" priority="56" operator="containsText" text="DEFINIR PREÇO">
      <formula>NOT(ISERROR(SEARCH("DEFINIR PREÇO",AF44)))</formula>
    </cfRule>
  </conditionalFormatting>
  <conditionalFormatting sqref="AR44">
    <cfRule type="expression" dxfId="54" priority="52">
      <formula>OR(AR44="DEFINIR FORNECEDOR",AR44="DEFINIR FREÇO")</formula>
    </cfRule>
  </conditionalFormatting>
  <conditionalFormatting sqref="AR44">
    <cfRule type="containsText" dxfId="53" priority="51" operator="containsText" text="DEFINIR PREÇO">
      <formula>NOT(ISERROR(SEARCH("DEFINIR PREÇO",AR44)))</formula>
    </cfRule>
  </conditionalFormatting>
  <conditionalFormatting sqref="AG44 AM44 AS44">
    <cfRule type="expression" dxfId="52" priority="55">
      <formula>AND(AG44&lt;&gt;$Z44,AG44&lt;&gt;$AA44,AG44&lt;&gt;$AB44,AG44&lt;&gt;$AC44,AG44&lt;&gt;$AD44,AG44&lt;&gt;$AY44)</formula>
    </cfRule>
  </conditionalFormatting>
  <conditionalFormatting sqref="AL44">
    <cfRule type="expression" dxfId="51" priority="54">
      <formula>OR(AL44="DEFINIR FORNECEDOR",AL44="DEFINIR FREÇO")</formula>
    </cfRule>
  </conditionalFormatting>
  <conditionalFormatting sqref="AL44">
    <cfRule type="containsText" dxfId="50" priority="53" operator="containsText" text="DEFINIR PREÇO">
      <formula>NOT(ISERROR(SEARCH("DEFINIR PREÇO",AL44)))</formula>
    </cfRule>
  </conditionalFormatting>
  <conditionalFormatting sqref="AX44">
    <cfRule type="expression" dxfId="49" priority="50">
      <formula>OR(AX44="DEFINIR FORNECEDOR",AX44="DEFINIR FREÇO")</formula>
    </cfRule>
  </conditionalFormatting>
  <conditionalFormatting sqref="AX44">
    <cfRule type="containsText" dxfId="48" priority="49" operator="containsText" text="DEFINIR PREÇO">
      <formula>NOT(ISERROR(SEARCH("DEFINIR PREÇO",AX44)))</formula>
    </cfRule>
  </conditionalFormatting>
  <conditionalFormatting sqref="AY44">
    <cfRule type="expression" dxfId="47" priority="48">
      <formula>AND(AY44&lt;&gt;$Z44,AY44&lt;&gt;$AA44,AY44&lt;&gt;$AB44,AY44&lt;&gt;$AC44,AY44&lt;&gt;$AD44,AY44&lt;&gt;$AY44)</formula>
    </cfRule>
  </conditionalFormatting>
  <conditionalFormatting sqref="BD44">
    <cfRule type="expression" dxfId="46" priority="47">
      <formula>OR(BD44="DEFINIR FORNECEDOR",BD44="DEFINIR FREÇO")</formula>
    </cfRule>
  </conditionalFormatting>
  <conditionalFormatting sqref="BD44">
    <cfRule type="containsText" dxfId="45" priority="46" operator="containsText" text="DEFINIR PREÇO">
      <formula>NOT(ISERROR(SEARCH("DEFINIR PREÇO",BD44)))</formula>
    </cfRule>
  </conditionalFormatting>
  <conditionalFormatting sqref="J44">
    <cfRule type="cellIs" dxfId="44" priority="45" operator="equal">
      <formula>"SEM PREÇO"</formula>
    </cfRule>
  </conditionalFormatting>
  <conditionalFormatting sqref="J44">
    <cfRule type="expression" dxfId="43" priority="42">
      <formula>COUNT($V44,$W44,$X44,$Y44,$Z44,$AA44)=1</formula>
    </cfRule>
    <cfRule type="expression" dxfId="42" priority="43">
      <formula>COUNT($V44,$W44,$X44,$Y44,$Z44,$AA44)=2</formula>
    </cfRule>
    <cfRule type="expression" dxfId="41" priority="44">
      <formula>COUNT($V44,$W44,$X44,$Y44,$Z44,$AA44)&gt;=3</formula>
    </cfRule>
  </conditionalFormatting>
  <conditionalFormatting sqref="B167:C167">
    <cfRule type="duplicateValues" dxfId="40" priority="38" stopIfTrue="1"/>
  </conditionalFormatting>
  <conditionalFormatting sqref="B167:C167">
    <cfRule type="duplicateValues" dxfId="39" priority="39"/>
    <cfRule type="duplicateValues" dxfId="38" priority="40"/>
  </conditionalFormatting>
  <conditionalFormatting sqref="J104:J111">
    <cfRule type="cellIs" dxfId="37" priority="35" operator="equal">
      <formula>"SEM PREÇO"</formula>
    </cfRule>
  </conditionalFormatting>
  <conditionalFormatting sqref="J104:J111">
    <cfRule type="expression" dxfId="36" priority="32">
      <formula>COUNT($V104,$W104,$X104,$Y104,$Z104,$AA104)=1</formula>
    </cfRule>
    <cfRule type="expression" dxfId="35" priority="33">
      <formula>COUNT($V104,$W104,$X104,$Y104,$Z104,$AA104)=2</formula>
    </cfRule>
    <cfRule type="expression" dxfId="34" priority="34">
      <formula>COUNT($V104,$W104,$X104,$Y104,$Z104,$AA104)&gt;=3</formula>
    </cfRule>
  </conditionalFormatting>
  <conditionalFormatting sqref="C250">
    <cfRule type="duplicateValues" dxfId="33" priority="3039" stopIfTrue="1"/>
  </conditionalFormatting>
  <conditionalFormatting sqref="C250">
    <cfRule type="duplicateValues" dxfId="32" priority="3040"/>
    <cfRule type="duplicateValues" dxfId="31" priority="3041"/>
  </conditionalFormatting>
  <conditionalFormatting sqref="AR240 AL240 AX240 BD240 AF240">
    <cfRule type="expression" dxfId="30" priority="31">
      <formula>OR(AF240="DEFINIR FORNECEDOR",AF240="DEFINIR FREÇO")</formula>
    </cfRule>
  </conditionalFormatting>
  <conditionalFormatting sqref="AR240 AL240 AX240 BD240 AF240">
    <cfRule type="containsText" dxfId="29" priority="30" operator="containsText" text="DEFINIR PREÇO">
      <formula>NOT(ISERROR(SEARCH("DEFINIR PREÇO",AF240)))</formula>
    </cfRule>
  </conditionalFormatting>
  <conditionalFormatting sqref="B240:C240">
    <cfRule type="duplicateValues" dxfId="28" priority="27" stopIfTrue="1"/>
  </conditionalFormatting>
  <conditionalFormatting sqref="B240:C240">
    <cfRule type="duplicateValues" dxfId="27" priority="28"/>
    <cfRule type="duplicateValues" dxfId="26" priority="29"/>
  </conditionalFormatting>
  <conditionalFormatting sqref="AM240 AG240 AS240">
    <cfRule type="expression" dxfId="25" priority="26">
      <formula>AND(AG240&lt;&gt;$Z240,AG240&lt;&gt;$AA240,AG240&lt;&gt;$AB240,AG240&lt;&gt;$AC240,AG240&lt;&gt;$AD240,AG240&lt;&gt;$AY240)</formula>
    </cfRule>
  </conditionalFormatting>
  <conditionalFormatting sqref="J240">
    <cfRule type="cellIs" dxfId="24" priority="25" operator="equal">
      <formula>"SEM PREÇO"</formula>
    </cfRule>
  </conditionalFormatting>
  <conditionalFormatting sqref="J240">
    <cfRule type="expression" dxfId="23" priority="22">
      <formula>COUNT($V240,$W240,$X240,$Y240,$Z240,$AA240)=1</formula>
    </cfRule>
    <cfRule type="expression" dxfId="22" priority="23">
      <formula>COUNT($V240,$W240,$X240,$Y240,$Z240,$AA240)=2</formula>
    </cfRule>
    <cfRule type="expression" dxfId="21" priority="24">
      <formula>COUNT($V240,$W240,$X240,$Y240,$Z240,$AA240)&gt;=3</formula>
    </cfRule>
  </conditionalFormatting>
  <conditionalFormatting sqref="L240">
    <cfRule type="cellIs" dxfId="20" priority="21" operator="greaterThan">
      <formula>0.25</formula>
    </cfRule>
  </conditionalFormatting>
  <conditionalFormatting sqref="L45">
    <cfRule type="cellIs" dxfId="19" priority="20" operator="greaterThan">
      <formula>0.25</formula>
    </cfRule>
  </conditionalFormatting>
  <conditionalFormatting sqref="B45:C45">
    <cfRule type="duplicateValues" dxfId="18" priority="17" stopIfTrue="1"/>
  </conditionalFormatting>
  <conditionalFormatting sqref="B45:C45">
    <cfRule type="duplicateValues" dxfId="17" priority="18"/>
    <cfRule type="duplicateValues" dxfId="16" priority="19"/>
  </conditionalFormatting>
  <conditionalFormatting sqref="AF45">
    <cfRule type="expression" dxfId="15" priority="16">
      <formula>OR(AF45="DEFINIR FORNECEDOR",AF45="DEFINIR FREÇO")</formula>
    </cfRule>
  </conditionalFormatting>
  <conditionalFormatting sqref="AF45">
    <cfRule type="containsText" dxfId="14" priority="15" operator="containsText" text="DEFINIR PREÇO">
      <formula>NOT(ISERROR(SEARCH("DEFINIR PREÇO",AF45)))</formula>
    </cfRule>
  </conditionalFormatting>
  <conditionalFormatting sqref="AR45">
    <cfRule type="expression" dxfId="13" priority="11">
      <formula>OR(AR45="DEFINIR FORNECEDOR",AR45="DEFINIR FREÇO")</formula>
    </cfRule>
  </conditionalFormatting>
  <conditionalFormatting sqref="AR45">
    <cfRule type="containsText" dxfId="12" priority="10" operator="containsText" text="DEFINIR PREÇO">
      <formula>NOT(ISERROR(SEARCH("DEFINIR PREÇO",AR45)))</formula>
    </cfRule>
  </conditionalFormatting>
  <conditionalFormatting sqref="AG45 AM45 AS45">
    <cfRule type="expression" dxfId="11" priority="14">
      <formula>AND(AG45&lt;&gt;$Z45,AG45&lt;&gt;$AA45,AG45&lt;&gt;$AB45,AG45&lt;&gt;$AC45,AG45&lt;&gt;$AD45,AG45&lt;&gt;$AY45)</formula>
    </cfRule>
  </conditionalFormatting>
  <conditionalFormatting sqref="AL45">
    <cfRule type="expression" dxfId="10" priority="13">
      <formula>OR(AL45="DEFINIR FORNECEDOR",AL45="DEFINIR FREÇO")</formula>
    </cfRule>
  </conditionalFormatting>
  <conditionalFormatting sqref="AL45">
    <cfRule type="containsText" dxfId="9" priority="12" operator="containsText" text="DEFINIR PREÇO">
      <formula>NOT(ISERROR(SEARCH("DEFINIR PREÇO",AL45)))</formula>
    </cfRule>
  </conditionalFormatting>
  <conditionalFormatting sqref="AX45">
    <cfRule type="expression" dxfId="8" priority="9">
      <formula>OR(AX45="DEFINIR FORNECEDOR",AX45="DEFINIR FREÇO")</formula>
    </cfRule>
  </conditionalFormatting>
  <conditionalFormatting sqref="AX45">
    <cfRule type="containsText" dxfId="7" priority="8" operator="containsText" text="DEFINIR PREÇO">
      <formula>NOT(ISERROR(SEARCH("DEFINIR PREÇO",AX45)))</formula>
    </cfRule>
  </conditionalFormatting>
  <conditionalFormatting sqref="AY45">
    <cfRule type="expression" dxfId="6" priority="7">
      <formula>AND(AY45&lt;&gt;$Z45,AY45&lt;&gt;$AA45,AY45&lt;&gt;$AB45,AY45&lt;&gt;$AC45,AY45&lt;&gt;$AD45,AY45&lt;&gt;$AY45)</formula>
    </cfRule>
  </conditionalFormatting>
  <conditionalFormatting sqref="BD45">
    <cfRule type="expression" dxfId="5" priority="6">
      <formula>OR(BD45="DEFINIR FORNECEDOR",BD45="DEFINIR FREÇO")</formula>
    </cfRule>
  </conditionalFormatting>
  <conditionalFormatting sqref="BD45">
    <cfRule type="containsText" dxfId="4" priority="5" operator="containsText" text="DEFINIR PREÇO">
      <formula>NOT(ISERROR(SEARCH("DEFINIR PREÇO",BD45)))</formula>
    </cfRule>
  </conditionalFormatting>
  <conditionalFormatting sqref="J45">
    <cfRule type="cellIs" dxfId="3" priority="4" operator="equal">
      <formula>"SEM PREÇO"</formula>
    </cfRule>
  </conditionalFormatting>
  <conditionalFormatting sqref="J45">
    <cfRule type="expression" dxfId="2" priority="1">
      <formula>COUNT($V45,$W45,$X45,$Y45,$Z45,$AA45)=1</formula>
    </cfRule>
    <cfRule type="expression" dxfId="1" priority="2">
      <formula>COUNT($V45,$W45,$X45,$Y45,$Z45,$AA45)=2</formula>
    </cfRule>
    <cfRule type="expression" dxfId="0" priority="3">
      <formula>COUNT($V45,$W45,$X45,$Y45,$Z45,$AA45)&gt;=3</formula>
    </cfRule>
  </conditionalFormatting>
  <dataValidations disablePrompts="1" count="2">
    <dataValidation type="list" allowBlank="1" showInputMessage="1" showErrorMessage="1" sqref="I4:I278">
      <formula1>$BQ$2:$BQ$5</formula1>
    </dataValidation>
    <dataValidation type="list" allowBlank="1" showInputMessage="1" showErrorMessage="1" sqref="H4:H278">
      <formula1>$BR$2:$BR$5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F58:G60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T28"/>
  <sheetViews>
    <sheetView workbookViewId="0">
      <selection activeCell="O28" sqref="O28"/>
    </sheetView>
  </sheetViews>
  <sheetFormatPr defaultColWidth="9.140625" defaultRowHeight="15" x14ac:dyDescent="0.25"/>
  <cols>
    <col min="1" max="2" width="9.140625" style="111"/>
    <col min="9" max="9" width="9.140625" style="10"/>
    <col min="10" max="10" width="9.140625" style="14"/>
    <col min="11" max="11" width="6.42578125" customWidth="1"/>
    <col min="12" max="12" width="11.7109375" customWidth="1"/>
    <col min="13" max="13" width="12.140625" customWidth="1"/>
    <col min="14" max="14" width="14.28515625" customWidth="1"/>
    <col min="15" max="15" width="16.85546875" style="14" bestFit="1" customWidth="1"/>
    <col min="16" max="16" width="14.5703125" customWidth="1"/>
    <col min="17" max="17" width="16.7109375" bestFit="1" customWidth="1"/>
    <col min="18" max="18" width="35.85546875" customWidth="1"/>
  </cols>
  <sheetData>
    <row r="1" spans="1:20" ht="15.75" x14ac:dyDescent="0.25">
      <c r="A1" s="66"/>
      <c r="B1" s="66"/>
      <c r="C1" s="67"/>
      <c r="D1" s="67"/>
      <c r="E1" s="67"/>
      <c r="F1" s="67"/>
      <c r="G1" s="67"/>
      <c r="H1" s="67"/>
      <c r="I1" s="68"/>
      <c r="J1" s="69"/>
      <c r="K1" s="67"/>
      <c r="L1" s="67"/>
      <c r="M1" s="67"/>
      <c r="N1" s="67"/>
      <c r="O1" s="69"/>
      <c r="P1" s="112"/>
      <c r="Q1" s="64"/>
    </row>
    <row r="2" spans="1:20" ht="21" x14ac:dyDescent="0.35">
      <c r="A2" s="66"/>
      <c r="B2" s="66"/>
      <c r="D2" s="67"/>
      <c r="E2" s="70" t="s">
        <v>1059</v>
      </c>
      <c r="F2" s="67"/>
      <c r="G2" s="67"/>
      <c r="H2" s="67"/>
      <c r="I2" s="68"/>
      <c r="J2" s="69"/>
      <c r="K2" s="67"/>
      <c r="L2" s="67"/>
      <c r="M2" s="67"/>
      <c r="N2" s="67"/>
      <c r="O2" s="67"/>
      <c r="P2" s="112"/>
      <c r="Q2" s="64"/>
    </row>
    <row r="3" spans="1:20" ht="15.75" x14ac:dyDescent="0.25">
      <c r="A3" s="66"/>
      <c r="B3" s="66"/>
      <c r="C3" s="355" t="s">
        <v>1436</v>
      </c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71"/>
      <c r="O3" s="72"/>
      <c r="P3" s="112"/>
      <c r="Q3" s="64"/>
    </row>
    <row r="4" spans="1:20" ht="16.5" thickBot="1" x14ac:dyDescent="0.3">
      <c r="A4" s="66"/>
      <c r="B4" s="66"/>
      <c r="C4" s="356" t="s">
        <v>1060</v>
      </c>
      <c r="D4" s="356"/>
      <c r="E4" s="356"/>
      <c r="F4" s="356"/>
      <c r="G4" s="356"/>
      <c r="H4" s="356"/>
      <c r="I4" s="356"/>
      <c r="J4" s="356"/>
      <c r="K4" s="73">
        <v>250</v>
      </c>
      <c r="L4" s="67"/>
      <c r="N4" s="71"/>
      <c r="O4" s="74"/>
      <c r="P4" s="112"/>
      <c r="Q4" s="64"/>
    </row>
    <row r="5" spans="1:20" ht="15.75" thickBot="1" x14ac:dyDescent="0.3">
      <c r="A5" s="362" t="s">
        <v>272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3"/>
      <c r="N5" s="362" t="s">
        <v>403</v>
      </c>
      <c r="O5" s="363"/>
      <c r="P5" s="362" t="s">
        <v>1</v>
      </c>
      <c r="Q5" s="363"/>
    </row>
    <row r="6" spans="1:20" s="76" customFormat="1" ht="15.75" thickBot="1" x14ac:dyDescent="0.3">
      <c r="A6" s="75" t="s">
        <v>1061</v>
      </c>
      <c r="B6" s="75"/>
      <c r="C6" s="352" t="s">
        <v>1062</v>
      </c>
      <c r="D6" s="353"/>
      <c r="E6" s="353"/>
      <c r="F6" s="353"/>
      <c r="G6" s="353"/>
      <c r="H6" s="353"/>
      <c r="I6" s="353"/>
      <c r="J6" s="354"/>
      <c r="K6" s="75"/>
      <c r="L6" s="75" t="s">
        <v>1048</v>
      </c>
      <c r="M6" s="75" t="s">
        <v>1063</v>
      </c>
      <c r="N6" s="75" t="s">
        <v>1064</v>
      </c>
      <c r="O6" s="75" t="s">
        <v>1065</v>
      </c>
      <c r="P6" s="75" t="s">
        <v>1064</v>
      </c>
      <c r="Q6" s="75" t="s">
        <v>1065</v>
      </c>
    </row>
    <row r="7" spans="1:20" x14ac:dyDescent="0.25">
      <c r="A7" s="117">
        <v>1</v>
      </c>
      <c r="B7" s="118">
        <v>93565</v>
      </c>
      <c r="C7" s="357" t="s">
        <v>1066</v>
      </c>
      <c r="D7" s="357"/>
      <c r="E7" s="357"/>
      <c r="F7" s="357"/>
      <c r="G7" s="357"/>
      <c r="H7" s="357"/>
      <c r="I7" s="357"/>
      <c r="J7" s="357"/>
      <c r="K7" s="119"/>
      <c r="L7" s="118" t="s">
        <v>79</v>
      </c>
      <c r="M7" s="120">
        <f>1/162</f>
        <v>6.1728395061728392E-3</v>
      </c>
      <c r="N7" s="121" t="e">
        <f>VLOOKUP(B7,#REF!,4,FALSE)</f>
        <v>#REF!</v>
      </c>
      <c r="O7" s="122" t="e">
        <f t="shared" ref="O7:O12" si="0">ROUND(M7*N7,2)</f>
        <v>#REF!</v>
      </c>
      <c r="P7" s="121" t="e">
        <f>VLOOKUP(B7,#REF!,5,FALSE)</f>
        <v>#REF!</v>
      </c>
      <c r="Q7" s="122" t="e">
        <f>ROUND(M7*P7,2)</f>
        <v>#REF!</v>
      </c>
    </row>
    <row r="8" spans="1:20" x14ac:dyDescent="0.25">
      <c r="A8" s="123">
        <f>A7+1</f>
        <v>2</v>
      </c>
      <c r="B8" s="62" t="s">
        <v>1083</v>
      </c>
      <c r="C8" s="358" t="s">
        <v>1067</v>
      </c>
      <c r="D8" s="358"/>
      <c r="E8" s="358"/>
      <c r="F8" s="358"/>
      <c r="G8" s="358"/>
      <c r="H8" s="358"/>
      <c r="I8" s="358"/>
      <c r="J8" s="358"/>
      <c r="K8" s="124"/>
      <c r="L8" s="62" t="s">
        <v>79</v>
      </c>
      <c r="M8" s="125">
        <f>1/162</f>
        <v>6.1728395061728392E-3</v>
      </c>
      <c r="N8" s="126" t="e">
        <f>VLOOKUP(B8,#REF!,4,FALSE)</f>
        <v>#REF!</v>
      </c>
      <c r="O8" s="127" t="e">
        <f t="shared" si="0"/>
        <v>#REF!</v>
      </c>
      <c r="P8" s="126" t="e">
        <f>VLOOKUP(B8,#REF!,5,FALSE)</f>
        <v>#REF!</v>
      </c>
      <c r="Q8" s="127" t="e">
        <f t="shared" ref="Q8:Q12" si="1">ROUND(M8*P8,2)</f>
        <v>#REF!</v>
      </c>
    </row>
    <row r="9" spans="1:20" x14ac:dyDescent="0.25">
      <c r="A9" s="123">
        <f>A8+1</f>
        <v>3</v>
      </c>
      <c r="B9" s="62">
        <v>100321</v>
      </c>
      <c r="C9" s="358" t="s">
        <v>1068</v>
      </c>
      <c r="D9" s="358"/>
      <c r="E9" s="358"/>
      <c r="F9" s="358"/>
      <c r="G9" s="358"/>
      <c r="H9" s="358"/>
      <c r="I9" s="358"/>
      <c r="J9" s="358"/>
      <c r="K9" s="124"/>
      <c r="L9" s="62" t="s">
        <v>79</v>
      </c>
      <c r="M9" s="125">
        <f>1/18</f>
        <v>5.5555555555555552E-2</v>
      </c>
      <c r="N9" s="126" t="e">
        <f>VLOOKUP(B9,#REF!,4,FALSE)</f>
        <v>#REF!</v>
      </c>
      <c r="O9" s="127" t="e">
        <f t="shared" si="0"/>
        <v>#REF!</v>
      </c>
      <c r="P9" s="126" t="e">
        <f>VLOOKUP(B9,#REF!,5,FALSE)</f>
        <v>#REF!</v>
      </c>
      <c r="Q9" s="127" t="e">
        <f t="shared" si="1"/>
        <v>#REF!</v>
      </c>
    </row>
    <row r="10" spans="1:20" x14ac:dyDescent="0.25">
      <c r="A10" s="123">
        <f>A9+1</f>
        <v>4</v>
      </c>
      <c r="B10" s="62">
        <v>93566</v>
      </c>
      <c r="C10" s="358" t="s">
        <v>1069</v>
      </c>
      <c r="D10" s="358"/>
      <c r="E10" s="358"/>
      <c r="F10" s="358"/>
      <c r="G10" s="358"/>
      <c r="H10" s="358"/>
      <c r="I10" s="358"/>
      <c r="J10" s="358"/>
      <c r="K10" s="124"/>
      <c r="L10" s="62" t="s">
        <v>79</v>
      </c>
      <c r="M10" s="125">
        <f>1/162</f>
        <v>6.1728395061728392E-3</v>
      </c>
      <c r="N10" s="126" t="e">
        <f>VLOOKUP(B10,#REF!,4,FALSE)</f>
        <v>#REF!</v>
      </c>
      <c r="O10" s="127" t="e">
        <f t="shared" si="0"/>
        <v>#REF!</v>
      </c>
      <c r="P10" s="126" t="e">
        <f>VLOOKUP(B10,#REF!,5,FALSE)</f>
        <v>#REF!</v>
      </c>
      <c r="Q10" s="127" t="e">
        <f t="shared" si="1"/>
        <v>#REF!</v>
      </c>
      <c r="T10" s="76"/>
    </row>
    <row r="11" spans="1:20" x14ac:dyDescent="0.25">
      <c r="A11" s="123">
        <f>A10+1</f>
        <v>5</v>
      </c>
      <c r="B11" s="62">
        <v>93566</v>
      </c>
      <c r="C11" s="358" t="s">
        <v>1070</v>
      </c>
      <c r="D11" s="358"/>
      <c r="E11" s="358"/>
      <c r="F11" s="358"/>
      <c r="G11" s="358"/>
      <c r="H11" s="358"/>
      <c r="I11" s="358"/>
      <c r="J11" s="358"/>
      <c r="K11" s="124"/>
      <c r="L11" s="62" t="s">
        <v>79</v>
      </c>
      <c r="M11" s="125">
        <f>1/9</f>
        <v>0.1111111111111111</v>
      </c>
      <c r="N11" s="126" t="e">
        <f>VLOOKUP(B11,#REF!,4,FALSE)</f>
        <v>#REF!</v>
      </c>
      <c r="O11" s="127" t="e">
        <f t="shared" si="0"/>
        <v>#REF!</v>
      </c>
      <c r="P11" s="126" t="e">
        <f>VLOOKUP(B11,#REF!,5,FALSE)</f>
        <v>#REF!</v>
      </c>
      <c r="Q11" s="127" t="e">
        <f t="shared" si="1"/>
        <v>#REF!</v>
      </c>
    </row>
    <row r="12" spans="1:20" ht="15" customHeight="1" x14ac:dyDescent="0.25">
      <c r="A12" s="128">
        <f>A11+1</f>
        <v>6</v>
      </c>
      <c r="B12" s="129" t="s">
        <v>1084</v>
      </c>
      <c r="C12" s="366" t="s">
        <v>1071</v>
      </c>
      <c r="D12" s="366"/>
      <c r="E12" s="366"/>
      <c r="F12" s="366"/>
      <c r="G12" s="366"/>
      <c r="H12" s="366"/>
      <c r="I12" s="366"/>
      <c r="J12" s="366"/>
      <c r="K12" s="130"/>
      <c r="L12" s="129" t="s">
        <v>79</v>
      </c>
      <c r="M12" s="131">
        <v>1</v>
      </c>
      <c r="N12" s="132" t="e">
        <f>VLOOKUP(B12,#REF!,4,FALSE)</f>
        <v>#REF!</v>
      </c>
      <c r="O12" s="133" t="e">
        <f t="shared" si="0"/>
        <v>#REF!</v>
      </c>
      <c r="P12" s="132" t="e">
        <f>VLOOKUP(B12,#REF!,5,FALSE)</f>
        <v>#REF!</v>
      </c>
      <c r="Q12" s="133" t="e">
        <f t="shared" si="1"/>
        <v>#REF!</v>
      </c>
    </row>
    <row r="13" spans="1:20" s="116" customFormat="1" ht="15.75" x14ac:dyDescent="0.25">
      <c r="A13" s="134"/>
      <c r="B13" s="135"/>
      <c r="C13" s="351" t="s">
        <v>1072</v>
      </c>
      <c r="D13" s="351"/>
      <c r="E13" s="351"/>
      <c r="F13" s="351"/>
      <c r="G13" s="351"/>
      <c r="H13" s="351"/>
      <c r="I13" s="351"/>
      <c r="J13" s="351"/>
      <c r="K13" s="136"/>
      <c r="L13" s="136"/>
      <c r="M13" s="136"/>
      <c r="N13" s="136"/>
      <c r="O13" s="137" t="e">
        <f>SUM(O7:O12)</f>
        <v>#REF!</v>
      </c>
      <c r="P13" s="136"/>
      <c r="Q13" s="137" t="e">
        <f>SUM(Q7:Q12)</f>
        <v>#REF!</v>
      </c>
    </row>
    <row r="14" spans="1:20" ht="15.75" thickBot="1" x14ac:dyDescent="0.3">
      <c r="A14" s="90"/>
      <c r="B14" s="90"/>
      <c r="C14" s="91"/>
      <c r="D14" s="91"/>
      <c r="E14" s="91"/>
      <c r="F14" s="91"/>
      <c r="G14" s="91"/>
      <c r="H14" s="91"/>
      <c r="I14" s="91"/>
      <c r="J14" s="91"/>
      <c r="K14" s="92"/>
      <c r="L14" s="93"/>
      <c r="M14" s="93"/>
      <c r="N14" s="94"/>
      <c r="O14" s="94"/>
      <c r="P14" s="94"/>
      <c r="Q14" s="94"/>
    </row>
    <row r="15" spans="1:20" s="76" customFormat="1" ht="15.75" thickBot="1" x14ac:dyDescent="0.3">
      <c r="A15" s="75" t="s">
        <v>1073</v>
      </c>
      <c r="B15" s="75"/>
      <c r="C15" s="352" t="s">
        <v>1074</v>
      </c>
      <c r="D15" s="353"/>
      <c r="E15" s="353"/>
      <c r="F15" s="353"/>
      <c r="G15" s="353"/>
      <c r="H15" s="353"/>
      <c r="I15" s="353"/>
      <c r="J15" s="354"/>
      <c r="K15" s="75"/>
      <c r="L15" s="75" t="s">
        <v>1048</v>
      </c>
      <c r="M15" s="75" t="s">
        <v>1063</v>
      </c>
      <c r="N15" s="75" t="s">
        <v>1064</v>
      </c>
      <c r="O15" s="75" t="s">
        <v>1065</v>
      </c>
      <c r="P15" s="75" t="s">
        <v>1064</v>
      </c>
      <c r="Q15" s="75" t="s">
        <v>1065</v>
      </c>
    </row>
    <row r="16" spans="1:20" x14ac:dyDescent="0.25">
      <c r="A16" s="77">
        <v>1</v>
      </c>
      <c r="B16" s="78" t="s">
        <v>313</v>
      </c>
      <c r="C16" s="365" t="s">
        <v>267</v>
      </c>
      <c r="D16" s="365"/>
      <c r="E16" s="365"/>
      <c r="F16" s="365"/>
      <c r="G16" s="365"/>
      <c r="H16" s="365"/>
      <c r="I16" s="365"/>
      <c r="J16" s="365"/>
      <c r="K16" s="79"/>
      <c r="L16" s="78" t="s">
        <v>79</v>
      </c>
      <c r="M16" s="95">
        <v>1</v>
      </c>
      <c r="N16" s="96" t="e">
        <f>VLOOKUP(B16,#REF!,4,FALSE)*188.57</f>
        <v>#REF!</v>
      </c>
      <c r="O16" s="81" t="e">
        <f>ROUND(M16*N16,2)</f>
        <v>#REF!</v>
      </c>
      <c r="P16" s="121" t="e">
        <f>VLOOKUP(B16,#REF!,5,FALSE)*188.57</f>
        <v>#REF!</v>
      </c>
      <c r="Q16" s="81" t="e">
        <f>ROUND(M16*P16,2)</f>
        <v>#REF!</v>
      </c>
    </row>
    <row r="17" spans="1:19" x14ac:dyDescent="0.25">
      <c r="A17" s="82">
        <f t="shared" ref="A17:A22" si="2">A16+1</f>
        <v>2</v>
      </c>
      <c r="B17" s="83"/>
      <c r="C17" s="359" t="s">
        <v>1075</v>
      </c>
      <c r="D17" s="359"/>
      <c r="E17" s="359"/>
      <c r="F17" s="359"/>
      <c r="G17" s="359"/>
      <c r="H17" s="359"/>
      <c r="I17" s="359"/>
      <c r="J17" s="359"/>
      <c r="K17" s="84"/>
      <c r="L17" s="83" t="s">
        <v>79</v>
      </c>
      <c r="M17" s="80">
        <v>1</v>
      </c>
      <c r="N17" s="96" t="e">
        <f>0.01*N16</f>
        <v>#REF!</v>
      </c>
      <c r="O17" s="85" t="e">
        <f>ROUND(M17*N17,2)</f>
        <v>#REF!</v>
      </c>
      <c r="P17" s="96" t="e">
        <f>0.01*P16</f>
        <v>#REF!</v>
      </c>
      <c r="Q17" s="85" t="e">
        <f t="shared" ref="Q17:Q22" si="3">ROUND(M17*P17,2)</f>
        <v>#REF!</v>
      </c>
    </row>
    <row r="18" spans="1:19" x14ac:dyDescent="0.25">
      <c r="A18" s="82">
        <f t="shared" si="2"/>
        <v>3</v>
      </c>
      <c r="B18" s="83" t="s">
        <v>1076</v>
      </c>
      <c r="C18" s="359" t="s">
        <v>1077</v>
      </c>
      <c r="D18" s="359"/>
      <c r="E18" s="359"/>
      <c r="F18" s="359"/>
      <c r="G18" s="359"/>
      <c r="H18" s="359"/>
      <c r="I18" s="359"/>
      <c r="J18" s="359"/>
      <c r="K18" s="84"/>
      <c r="L18" s="83" t="s">
        <v>79</v>
      </c>
      <c r="M18" s="80">
        <f>7/162</f>
        <v>4.3209876543209874E-2</v>
      </c>
      <c r="N18" s="96" t="e">
        <f>ROUND(80*VLOOKUP(B18,#REF!,4,FALSE),2)</f>
        <v>#REF!</v>
      </c>
      <c r="O18" s="97" t="e">
        <f>ROUND(M18*N18,2)</f>
        <v>#REF!</v>
      </c>
      <c r="P18" s="96" t="e">
        <f>ROUND(80*VLOOKUP(B18,#REF!,5,FALSE),2)</f>
        <v>#REF!</v>
      </c>
      <c r="Q18" s="97" t="e">
        <f t="shared" si="3"/>
        <v>#REF!</v>
      </c>
    </row>
    <row r="19" spans="1:19" x14ac:dyDescent="0.25">
      <c r="A19" s="82">
        <f t="shared" si="2"/>
        <v>4</v>
      </c>
      <c r="B19" s="83" t="s">
        <v>423</v>
      </c>
      <c r="C19" s="359" t="s">
        <v>1078</v>
      </c>
      <c r="D19" s="359"/>
      <c r="E19" s="359"/>
      <c r="F19" s="359"/>
      <c r="G19" s="359"/>
      <c r="H19" s="359"/>
      <c r="I19" s="359"/>
      <c r="J19" s="359"/>
      <c r="K19" s="84"/>
      <c r="L19" s="83" t="s">
        <v>79</v>
      </c>
      <c r="M19" s="80">
        <f>M18</f>
        <v>4.3209876543209874E-2</v>
      </c>
      <c r="N19" s="96" t="e">
        <f>ROUND(3*VLOOKUP(B19,#REF!,4,FALSE),2)</f>
        <v>#REF!</v>
      </c>
      <c r="O19" s="85" t="e">
        <f t="shared" ref="O19:O21" si="4">ROUND(M19*N19,2)</f>
        <v>#REF!</v>
      </c>
      <c r="P19" s="96" t="e">
        <f>ROUND(3*VLOOKUP(B19,#REF!,5,FALSE),2)</f>
        <v>#REF!</v>
      </c>
      <c r="Q19" s="85" t="e">
        <f t="shared" si="3"/>
        <v>#REF!</v>
      </c>
    </row>
    <row r="20" spans="1:19" x14ac:dyDescent="0.25">
      <c r="A20" s="82">
        <f t="shared" si="2"/>
        <v>5</v>
      </c>
      <c r="B20" s="83" t="s">
        <v>457</v>
      </c>
      <c r="C20" s="359" t="s">
        <v>458</v>
      </c>
      <c r="D20" s="359"/>
      <c r="E20" s="359"/>
      <c r="F20" s="359"/>
      <c r="G20" s="359"/>
      <c r="H20" s="359"/>
      <c r="I20" s="359"/>
      <c r="J20" s="359"/>
      <c r="K20" s="84"/>
      <c r="L20" s="83" t="s">
        <v>79</v>
      </c>
      <c r="M20" s="80">
        <v>1</v>
      </c>
      <c r="N20" s="96" t="e">
        <f>ROUND(VLOOKUP(B20,#REF!,4,FALSE),2)</f>
        <v>#REF!</v>
      </c>
      <c r="O20" s="85" t="e">
        <f t="shared" si="4"/>
        <v>#REF!</v>
      </c>
      <c r="P20" s="96" t="e">
        <f>ROUND(VLOOKUP(B20,#REF!,5,FALSE),2)</f>
        <v>#REF!</v>
      </c>
      <c r="Q20" s="85" t="e">
        <f t="shared" si="3"/>
        <v>#REF!</v>
      </c>
      <c r="S20" s="98"/>
    </row>
    <row r="21" spans="1:19" x14ac:dyDescent="0.25">
      <c r="A21" s="82">
        <f t="shared" si="2"/>
        <v>6</v>
      </c>
      <c r="B21" s="83" t="s">
        <v>312</v>
      </c>
      <c r="C21" s="359" t="s">
        <v>1079</v>
      </c>
      <c r="D21" s="359"/>
      <c r="E21" s="359"/>
      <c r="F21" s="359"/>
      <c r="G21" s="359"/>
      <c r="H21" s="359"/>
      <c r="I21" s="359"/>
      <c r="J21" s="359"/>
      <c r="K21" s="84"/>
      <c r="L21" s="83" t="s">
        <v>79</v>
      </c>
      <c r="M21" s="80">
        <f>1/9</f>
        <v>0.1111111111111111</v>
      </c>
      <c r="N21" s="96" t="e">
        <f>VLOOKUP(B21,#REF!,4,FALSE)*188.57</f>
        <v>#REF!</v>
      </c>
      <c r="O21" s="85" t="e">
        <f t="shared" si="4"/>
        <v>#REF!</v>
      </c>
      <c r="P21" s="96" t="e">
        <f>VLOOKUP(B21,#REF!,5,FALSE)*188.57</f>
        <v>#REF!</v>
      </c>
      <c r="Q21" s="85" t="e">
        <f t="shared" si="3"/>
        <v>#REF!</v>
      </c>
      <c r="S21" s="98"/>
    </row>
    <row r="22" spans="1:19" x14ac:dyDescent="0.25">
      <c r="A22" s="82">
        <f t="shared" si="2"/>
        <v>7</v>
      </c>
      <c r="B22" s="83" t="s">
        <v>428</v>
      </c>
      <c r="C22" s="359" t="s">
        <v>429</v>
      </c>
      <c r="D22" s="359"/>
      <c r="E22" s="359"/>
      <c r="F22" s="359"/>
      <c r="G22" s="359"/>
      <c r="H22" s="359"/>
      <c r="I22" s="359"/>
      <c r="J22" s="359"/>
      <c r="K22" s="84"/>
      <c r="L22" s="83" t="s">
        <v>79</v>
      </c>
      <c r="M22" s="80">
        <f>1/9</f>
        <v>0.1111111111111111</v>
      </c>
      <c r="N22" s="96" t="e">
        <f>VLOOKUP(B22,#REF!,4,FALSE)</f>
        <v>#REF!</v>
      </c>
      <c r="O22" s="85" t="e">
        <f>ROUND(M22*N22,2)</f>
        <v>#REF!</v>
      </c>
      <c r="P22" s="96" t="e">
        <f>VLOOKUP(B22,#REF!,5,FALSE)</f>
        <v>#REF!</v>
      </c>
      <c r="Q22" s="85" t="e">
        <f t="shared" si="3"/>
        <v>#REF!</v>
      </c>
      <c r="S22" s="98"/>
    </row>
    <row r="23" spans="1:19" s="116" customFormat="1" ht="15.75" x14ac:dyDescent="0.25">
      <c r="A23" s="113"/>
      <c r="B23" s="113"/>
      <c r="C23" s="360" t="s">
        <v>1080</v>
      </c>
      <c r="D23" s="360"/>
      <c r="E23" s="360"/>
      <c r="F23" s="360"/>
      <c r="G23" s="360"/>
      <c r="H23" s="360"/>
      <c r="I23" s="360"/>
      <c r="J23" s="360"/>
      <c r="K23" s="114"/>
      <c r="L23" s="114"/>
      <c r="M23" s="114"/>
      <c r="N23" s="114"/>
      <c r="O23" s="115" t="e">
        <f>SUM(O16:O22)</f>
        <v>#REF!</v>
      </c>
      <c r="P23" s="114"/>
      <c r="Q23" s="115" t="e">
        <f>SUM(Q16:Q22)</f>
        <v>#REF!</v>
      </c>
    </row>
    <row r="24" spans="1:19" x14ac:dyDescent="0.25">
      <c r="A24" s="86"/>
      <c r="B24" s="86"/>
      <c r="C24" s="87"/>
      <c r="D24" s="87"/>
      <c r="E24" s="87"/>
      <c r="F24" s="87"/>
      <c r="G24" s="87"/>
      <c r="H24" s="87"/>
      <c r="I24" s="88"/>
      <c r="J24" s="89"/>
      <c r="K24" s="87"/>
      <c r="L24" s="87"/>
      <c r="M24" s="87"/>
      <c r="N24" s="87"/>
      <c r="O24" s="89"/>
      <c r="P24" s="87"/>
      <c r="Q24" s="89"/>
    </row>
    <row r="25" spans="1:19" ht="18.75" x14ac:dyDescent="0.25">
      <c r="A25" s="99"/>
      <c r="B25" s="99"/>
      <c r="C25" s="361" t="s">
        <v>1049</v>
      </c>
      <c r="D25" s="361"/>
      <c r="E25" s="361"/>
      <c r="F25" s="361"/>
      <c r="G25" s="361"/>
      <c r="H25" s="361"/>
      <c r="I25" s="361"/>
      <c r="J25" s="361"/>
      <c r="K25" s="100"/>
      <c r="L25" s="100"/>
      <c r="M25" s="100"/>
      <c r="N25" s="101"/>
      <c r="O25" s="102" t="e">
        <f>O13+O23</f>
        <v>#REF!</v>
      </c>
      <c r="P25" s="101"/>
      <c r="Q25" s="102" t="e">
        <f>Q13+Q23</f>
        <v>#REF!</v>
      </c>
    </row>
    <row r="26" spans="1:19" x14ac:dyDescent="0.25">
      <c r="A26" s="86"/>
      <c r="B26" s="86"/>
      <c r="C26" s="103"/>
      <c r="D26" s="103"/>
      <c r="E26" s="103"/>
      <c r="F26" s="103"/>
      <c r="G26" s="103"/>
      <c r="H26" s="103"/>
      <c r="I26" s="103"/>
      <c r="J26" s="103"/>
      <c r="K26" s="87"/>
      <c r="L26" s="87"/>
      <c r="M26" s="87"/>
      <c r="N26" s="87"/>
      <c r="O26" s="89"/>
      <c r="P26" s="87"/>
      <c r="Q26" s="89"/>
    </row>
    <row r="27" spans="1:19" x14ac:dyDescent="0.25">
      <c r="A27" s="104"/>
      <c r="B27" s="104"/>
      <c r="C27" s="84" t="s">
        <v>1081</v>
      </c>
      <c r="D27" s="84"/>
      <c r="E27" s="84"/>
      <c r="F27" s="84"/>
      <c r="G27" s="84"/>
      <c r="H27" s="84"/>
      <c r="I27" s="105">
        <f>K4*22</f>
        <v>5500</v>
      </c>
      <c r="J27" s="106"/>
      <c r="K27" s="107"/>
      <c r="L27" s="107"/>
      <c r="M27" s="107"/>
      <c r="N27" s="107"/>
      <c r="O27" s="106"/>
      <c r="P27" s="107"/>
      <c r="Q27" s="106"/>
    </row>
    <row r="28" spans="1:19" ht="18.75" x14ac:dyDescent="0.25">
      <c r="A28" s="99"/>
      <c r="B28" s="99"/>
      <c r="C28" s="108" t="s">
        <v>1082</v>
      </c>
      <c r="D28" s="108"/>
      <c r="E28" s="108"/>
      <c r="F28" s="108"/>
      <c r="G28" s="108"/>
      <c r="H28" s="108"/>
      <c r="I28" s="109"/>
      <c r="J28" s="101"/>
      <c r="K28" s="100"/>
      <c r="L28" s="100"/>
      <c r="M28" s="100"/>
      <c r="N28" s="100"/>
      <c r="O28" s="110" t="e">
        <f>ROUND(O25/I27,2)</f>
        <v>#REF!</v>
      </c>
      <c r="P28" s="100"/>
      <c r="Q28" s="110" t="e">
        <f>ROUND(Q25/I27,2)</f>
        <v>#REF!</v>
      </c>
    </row>
  </sheetData>
  <mergeCells count="23">
    <mergeCell ref="C22:J22"/>
    <mergeCell ref="C23:J23"/>
    <mergeCell ref="C25:J25"/>
    <mergeCell ref="N5:O5"/>
    <mergeCell ref="P5:Q5"/>
    <mergeCell ref="A5:M5"/>
    <mergeCell ref="C16:J16"/>
    <mergeCell ref="C17:J17"/>
    <mergeCell ref="C18:J18"/>
    <mergeCell ref="C19:J19"/>
    <mergeCell ref="C20:J20"/>
    <mergeCell ref="C21:J21"/>
    <mergeCell ref="C9:J9"/>
    <mergeCell ref="C10:J10"/>
    <mergeCell ref="C11:J11"/>
    <mergeCell ref="C12:J12"/>
    <mergeCell ref="C13:J13"/>
    <mergeCell ref="C15:J15"/>
    <mergeCell ref="C3:M3"/>
    <mergeCell ref="C4:J4"/>
    <mergeCell ref="C6:J6"/>
    <mergeCell ref="C7:J7"/>
    <mergeCell ref="C8:J8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G27"/>
  <sheetViews>
    <sheetView workbookViewId="0">
      <selection activeCell="A27" sqref="A27"/>
    </sheetView>
  </sheetViews>
  <sheetFormatPr defaultColWidth="9.140625" defaultRowHeight="15" x14ac:dyDescent="0.25"/>
  <cols>
    <col min="1" max="1" width="9.140625" style="1"/>
    <col min="2" max="2" width="54.140625" style="1" customWidth="1"/>
    <col min="3" max="3" width="9.140625" style="1"/>
    <col min="4" max="4" width="13.140625" style="1" bestFit="1" customWidth="1"/>
    <col min="5" max="5" width="15.7109375" style="1" customWidth="1"/>
    <col min="6" max="6" width="20.140625" style="1" customWidth="1"/>
    <col min="7" max="7" width="9.140625" style="1"/>
    <col min="8" max="8" width="12.42578125" style="1" bestFit="1" customWidth="1"/>
    <col min="9" max="16384" width="9.140625" style="1"/>
  </cols>
  <sheetData>
    <row r="1" spans="1:7" ht="15" customHeight="1" x14ac:dyDescent="0.25">
      <c r="A1" s="367" t="s">
        <v>1246</v>
      </c>
      <c r="B1" s="368"/>
      <c r="C1" s="368"/>
      <c r="D1" s="368"/>
      <c r="E1" s="368"/>
      <c r="F1" s="369"/>
    </row>
    <row r="2" spans="1:7" x14ac:dyDescent="0.25">
      <c r="A2" s="142"/>
      <c r="B2" s="142"/>
      <c r="C2" s="142"/>
      <c r="D2" s="142"/>
      <c r="E2" s="142"/>
      <c r="F2" s="142"/>
    </row>
    <row r="3" spans="1:7" x14ac:dyDescent="0.25">
      <c r="A3" s="143" t="s">
        <v>12</v>
      </c>
      <c r="B3" s="143" t="s">
        <v>14</v>
      </c>
      <c r="C3" s="143" t="s">
        <v>1048</v>
      </c>
      <c r="D3" s="143" t="s">
        <v>1056</v>
      </c>
      <c r="E3" s="143" t="s">
        <v>1247</v>
      </c>
      <c r="F3" s="143" t="s">
        <v>1248</v>
      </c>
    </row>
    <row r="4" spans="1:7" x14ac:dyDescent="0.25">
      <c r="A4" s="144" t="s">
        <v>36</v>
      </c>
      <c r="B4" s="145" t="e">
        <f>VLOOKUP(A4,#REF!,2,FALSE)</f>
        <v>#REF!</v>
      </c>
      <c r="C4" s="142" t="e">
        <f>VLOOKUP(A4,#REF!,3,FALSE)</f>
        <v>#REF!</v>
      </c>
      <c r="D4" s="142">
        <v>2</v>
      </c>
      <c r="E4" s="142" t="e">
        <f>VLOOKUP(A4,#REF!,4,FALSE)</f>
        <v>#REF!</v>
      </c>
      <c r="F4" s="142" t="e">
        <f>ROUND(D4*E4,2)</f>
        <v>#REF!</v>
      </c>
      <c r="G4" s="1">
        <v>336.95</v>
      </c>
    </row>
    <row r="5" spans="1:7" ht="30" x14ac:dyDescent="0.25">
      <c r="A5" s="144">
        <v>13244</v>
      </c>
      <c r="B5" s="145" t="e">
        <f>VLOOKUP(A5,#REF!,2,FALSE)</f>
        <v>#REF!</v>
      </c>
      <c r="C5" s="142" t="e">
        <f>VLOOKUP(A5,#REF!,3,FALSE)</f>
        <v>#REF!</v>
      </c>
      <c r="D5" s="142">
        <v>4</v>
      </c>
      <c r="E5" s="142" t="e">
        <f>VLOOKUP(A5,#REF!,4,FALSE)</f>
        <v>#REF!</v>
      </c>
      <c r="F5" s="142" t="e">
        <f t="shared" ref="F5:F21" si="0">ROUND(D5*E5,2)</f>
        <v>#REF!</v>
      </c>
      <c r="G5" s="1">
        <v>49</v>
      </c>
    </row>
    <row r="6" spans="1:7" x14ac:dyDescent="0.25">
      <c r="A6" s="144" t="s">
        <v>40</v>
      </c>
      <c r="B6" s="145" t="e">
        <f>VLOOKUP(A6,#REF!,2,FALSE)</f>
        <v>#REF!</v>
      </c>
      <c r="C6" s="142" t="e">
        <f>VLOOKUP(A6,#REF!,3,FALSE)</f>
        <v>#REF!</v>
      </c>
      <c r="D6" s="142">
        <v>4</v>
      </c>
      <c r="E6" s="142" t="e">
        <f>VLOOKUP(A6,#REF!,4,FALSE)</f>
        <v>#REF!</v>
      </c>
      <c r="F6" s="142" t="e">
        <f t="shared" si="0"/>
        <v>#REF!</v>
      </c>
      <c r="G6" s="1">
        <v>13.29</v>
      </c>
    </row>
    <row r="7" spans="1:7" x14ac:dyDescent="0.25">
      <c r="A7" s="142" t="s">
        <v>433</v>
      </c>
      <c r="B7" s="145" t="e">
        <f>VLOOKUP(A7,#REF!,2,FALSE)</f>
        <v>#REF!</v>
      </c>
      <c r="C7" s="142" t="e">
        <f>VLOOKUP(A7,#REF!,3,FALSE)</f>
        <v>#REF!</v>
      </c>
      <c r="D7" s="142">
        <v>1</v>
      </c>
      <c r="E7" s="142" t="e">
        <f>VLOOKUP(A7,#REF!,4,FALSE)</f>
        <v>#REF!</v>
      </c>
      <c r="F7" s="142" t="e">
        <f t="shared" si="0"/>
        <v>#REF!</v>
      </c>
      <c r="G7" s="1">
        <v>3899.99</v>
      </c>
    </row>
    <row r="8" spans="1:7" x14ac:dyDescent="0.25">
      <c r="A8" s="142" t="s">
        <v>435</v>
      </c>
      <c r="B8" s="145" t="e">
        <f>VLOOKUP(A8,#REF!,2,FALSE)</f>
        <v>#REF!</v>
      </c>
      <c r="C8" s="142" t="e">
        <f>VLOOKUP(A8,#REF!,3,FALSE)</f>
        <v>#REF!</v>
      </c>
      <c r="D8" s="142">
        <v>2</v>
      </c>
      <c r="E8" s="142" t="e">
        <f>VLOOKUP(A8,#REF!,4,FALSE)</f>
        <v>#REF!</v>
      </c>
      <c r="F8" s="142" t="e">
        <f t="shared" si="0"/>
        <v>#REF!</v>
      </c>
      <c r="G8" s="1">
        <v>271.45</v>
      </c>
    </row>
    <row r="9" spans="1:7" x14ac:dyDescent="0.25">
      <c r="A9" s="142" t="s">
        <v>437</v>
      </c>
      <c r="B9" s="145" t="e">
        <f>VLOOKUP(A9,#REF!,2,FALSE)</f>
        <v>#REF!</v>
      </c>
      <c r="C9" s="142" t="e">
        <f>VLOOKUP(A9,#REF!,3,FALSE)</f>
        <v>#REF!</v>
      </c>
      <c r="D9" s="142">
        <v>1</v>
      </c>
      <c r="E9" s="142" t="e">
        <f>VLOOKUP(A9,#REF!,4,FALSE)</f>
        <v>#REF!</v>
      </c>
      <c r="F9" s="142" t="e">
        <f t="shared" si="0"/>
        <v>#REF!</v>
      </c>
      <c r="G9" s="1">
        <v>1883.125</v>
      </c>
    </row>
    <row r="10" spans="1:7" x14ac:dyDescent="0.25">
      <c r="A10" s="142" t="s">
        <v>439</v>
      </c>
      <c r="B10" s="145" t="e">
        <f>VLOOKUP(A10,#REF!,2,FALSE)</f>
        <v>#REF!</v>
      </c>
      <c r="C10" s="142" t="e">
        <f>VLOOKUP(A10,#REF!,3,FALSE)</f>
        <v>#REF!</v>
      </c>
      <c r="D10" s="142">
        <v>1</v>
      </c>
      <c r="E10" s="142" t="e">
        <f>VLOOKUP(A10,#REF!,4,FALSE)</f>
        <v>#REF!</v>
      </c>
      <c r="F10" s="142" t="e">
        <f t="shared" si="0"/>
        <v>#REF!</v>
      </c>
      <c r="G10" s="1">
        <v>432.79</v>
      </c>
    </row>
    <row r="11" spans="1:7" x14ac:dyDescent="0.25">
      <c r="A11" s="142" t="s">
        <v>441</v>
      </c>
      <c r="B11" s="145" t="e">
        <f>VLOOKUP(A11,#REF!,2,FALSE)</f>
        <v>#REF!</v>
      </c>
      <c r="C11" s="142" t="e">
        <f>VLOOKUP(A11,#REF!,3,FALSE)</f>
        <v>#REF!</v>
      </c>
      <c r="D11" s="142">
        <v>1</v>
      </c>
      <c r="E11" s="142" t="e">
        <f>VLOOKUP(A11,#REF!,4,FALSE)</f>
        <v>#REF!</v>
      </c>
      <c r="F11" s="142" t="e">
        <f t="shared" si="0"/>
        <v>#REF!</v>
      </c>
      <c r="G11" s="1">
        <v>449.45</v>
      </c>
    </row>
    <row r="12" spans="1:7" x14ac:dyDescent="0.25">
      <c r="A12" s="142" t="s">
        <v>443</v>
      </c>
      <c r="B12" s="145" t="e">
        <f>VLOOKUP(A12,#REF!,2,FALSE)</f>
        <v>#REF!</v>
      </c>
      <c r="C12" s="142" t="e">
        <f>VLOOKUP(A12,#REF!,3,FALSE)</f>
        <v>#REF!</v>
      </c>
      <c r="D12" s="142">
        <v>1</v>
      </c>
      <c r="E12" s="142" t="e">
        <f>VLOOKUP(A12,#REF!,4,FALSE)</f>
        <v>#REF!</v>
      </c>
      <c r="F12" s="142" t="e">
        <f t="shared" si="0"/>
        <v>#REF!</v>
      </c>
      <c r="G12" s="1">
        <v>725.875</v>
      </c>
    </row>
    <row r="13" spans="1:7" x14ac:dyDescent="0.25">
      <c r="A13" s="142" t="s">
        <v>444</v>
      </c>
      <c r="B13" s="145" t="e">
        <f>VLOOKUP(A13,#REF!,2,FALSE)</f>
        <v>#REF!</v>
      </c>
      <c r="C13" s="142" t="e">
        <f>VLOOKUP(A13,#REF!,3,FALSE)</f>
        <v>#REF!</v>
      </c>
      <c r="D13" s="142">
        <v>100</v>
      </c>
      <c r="E13" s="142" t="e">
        <f>VLOOKUP(A13,#REF!,4,FALSE)</f>
        <v>#REF!</v>
      </c>
      <c r="F13" s="142" t="e">
        <f t="shared" si="0"/>
        <v>#REF!</v>
      </c>
      <c r="G13" s="1">
        <v>4.1150000000000002</v>
      </c>
    </row>
    <row r="14" spans="1:7" x14ac:dyDescent="0.25">
      <c r="A14" s="142" t="s">
        <v>446</v>
      </c>
      <c r="B14" s="145" t="e">
        <f>VLOOKUP(A14,#REF!,2,FALSE)</f>
        <v>#REF!</v>
      </c>
      <c r="C14" s="142" t="e">
        <f>VLOOKUP(A14,#REF!,3,FALSE)</f>
        <v>#REF!</v>
      </c>
      <c r="D14" s="142">
        <v>1</v>
      </c>
      <c r="E14" s="142" t="e">
        <f>VLOOKUP(A14,#REF!,4,FALSE)</f>
        <v>#REF!</v>
      </c>
      <c r="F14" s="142" t="e">
        <f t="shared" si="0"/>
        <v>#REF!</v>
      </c>
      <c r="G14" s="1">
        <v>1592.2</v>
      </c>
    </row>
    <row r="15" spans="1:7" x14ac:dyDescent="0.25">
      <c r="A15" s="142" t="s">
        <v>448</v>
      </c>
      <c r="B15" s="145" t="e">
        <f>VLOOKUP(A15,#REF!,2,FALSE)</f>
        <v>#REF!</v>
      </c>
      <c r="C15" s="142" t="e">
        <f>VLOOKUP(A15,#REF!,3,FALSE)</f>
        <v>#REF!</v>
      </c>
      <c r="D15" s="142">
        <v>1</v>
      </c>
      <c r="E15" s="142" t="e">
        <f>VLOOKUP(A15,#REF!,4,FALSE)</f>
        <v>#REF!</v>
      </c>
      <c r="F15" s="142" t="e">
        <f t="shared" si="0"/>
        <v>#REF!</v>
      </c>
      <c r="G15" s="1">
        <v>523.55999999999995</v>
      </c>
    </row>
    <row r="16" spans="1:7" x14ac:dyDescent="0.25">
      <c r="A16" s="142" t="s">
        <v>450</v>
      </c>
      <c r="B16" s="145" t="e">
        <f>VLOOKUP(A16,#REF!,2,FALSE)</f>
        <v>#REF!</v>
      </c>
      <c r="C16" s="142" t="e">
        <f>VLOOKUP(A16,#REF!,3,FALSE)</f>
        <v>#REF!</v>
      </c>
      <c r="D16" s="142">
        <v>6</v>
      </c>
      <c r="E16" s="142" t="e">
        <f>VLOOKUP(A16,#REF!,4,FALSE)</f>
        <v>#REF!</v>
      </c>
      <c r="F16" s="142" t="e">
        <f t="shared" si="0"/>
        <v>#REF!</v>
      </c>
      <c r="G16" s="1">
        <v>32.700000000000003</v>
      </c>
    </row>
    <row r="17" spans="1:7" x14ac:dyDescent="0.25">
      <c r="A17" s="142" t="s">
        <v>451</v>
      </c>
      <c r="B17" s="145" t="e">
        <f>VLOOKUP(A17,#REF!,2,FALSE)</f>
        <v>#REF!</v>
      </c>
      <c r="C17" s="142" t="e">
        <f>VLOOKUP(A17,#REF!,3,FALSE)</f>
        <v>#REF!</v>
      </c>
      <c r="D17" s="142">
        <v>2</v>
      </c>
      <c r="E17" s="142" t="e">
        <f>VLOOKUP(A17,#REF!,4,FALSE)</f>
        <v>#REF!</v>
      </c>
      <c r="F17" s="142" t="e">
        <f t="shared" si="0"/>
        <v>#REF!</v>
      </c>
      <c r="G17" s="1">
        <v>190.935</v>
      </c>
    </row>
    <row r="18" spans="1:7" x14ac:dyDescent="0.25">
      <c r="A18" s="142" t="s">
        <v>452</v>
      </c>
      <c r="B18" s="145" t="e">
        <f>VLOOKUP(A18,#REF!,2,FALSE)</f>
        <v>#REF!</v>
      </c>
      <c r="C18" s="142" t="e">
        <f>VLOOKUP(A18,#REF!,3,FALSE)</f>
        <v>#REF!</v>
      </c>
      <c r="D18" s="142">
        <v>2</v>
      </c>
      <c r="E18" s="142" t="e">
        <f>VLOOKUP(A18,#REF!,4,FALSE)</f>
        <v>#REF!</v>
      </c>
      <c r="F18" s="142" t="e">
        <f t="shared" si="0"/>
        <v>#REF!</v>
      </c>
      <c r="G18" s="1">
        <v>265</v>
      </c>
    </row>
    <row r="19" spans="1:7" x14ac:dyDescent="0.25">
      <c r="A19" s="142" t="s">
        <v>453</v>
      </c>
      <c r="B19" s="145" t="e">
        <f>VLOOKUP(A19,#REF!,2,FALSE)</f>
        <v>#REF!</v>
      </c>
      <c r="C19" s="142" t="e">
        <f>VLOOKUP(A19,#REF!,3,FALSE)</f>
        <v>#REF!</v>
      </c>
      <c r="D19" s="142">
        <v>1</v>
      </c>
      <c r="E19" s="142" t="e">
        <f>VLOOKUP(A19,#REF!,4,FALSE)</f>
        <v>#REF!</v>
      </c>
      <c r="F19" s="142" t="e">
        <f t="shared" si="0"/>
        <v>#REF!</v>
      </c>
      <c r="G19" s="1">
        <v>305.92</v>
      </c>
    </row>
    <row r="20" spans="1:7" x14ac:dyDescent="0.25">
      <c r="A20" s="142" t="s">
        <v>455</v>
      </c>
      <c r="B20" s="145" t="e">
        <f>VLOOKUP(A20,#REF!,2,FALSE)</f>
        <v>#REF!</v>
      </c>
      <c r="C20" s="142" t="e">
        <f>VLOOKUP(A20,#REF!,3,FALSE)</f>
        <v>#REF!</v>
      </c>
      <c r="D20" s="142">
        <v>1</v>
      </c>
      <c r="E20" s="142" t="e">
        <f>VLOOKUP(A20,#REF!,4,FALSE)</f>
        <v>#REF!</v>
      </c>
      <c r="F20" s="142" t="e">
        <f t="shared" si="0"/>
        <v>#REF!</v>
      </c>
      <c r="G20" s="1">
        <v>24.39</v>
      </c>
    </row>
    <row r="21" spans="1:7" x14ac:dyDescent="0.25">
      <c r="A21" s="142" t="s">
        <v>430</v>
      </c>
      <c r="B21" s="145" t="e">
        <f>VLOOKUP(A21,#REF!,2,FALSE)</f>
        <v>#REF!</v>
      </c>
      <c r="C21" s="142" t="e">
        <f>VLOOKUP(A21,#REF!,3,FALSE)</f>
        <v>#REF!</v>
      </c>
      <c r="D21" s="142">
        <v>1</v>
      </c>
      <c r="E21" s="142" t="e">
        <f>VLOOKUP(A21,#REF!,4,FALSE)</f>
        <v>#REF!</v>
      </c>
      <c r="F21" s="142" t="e">
        <f t="shared" si="0"/>
        <v>#REF!</v>
      </c>
      <c r="G21" s="1">
        <v>168</v>
      </c>
    </row>
    <row r="22" spans="1:7" x14ac:dyDescent="0.25">
      <c r="E22" s="143" t="s">
        <v>1049</v>
      </c>
      <c r="F22" s="143" t="e">
        <f>SUM(F4:F21)</f>
        <v>#REF!</v>
      </c>
    </row>
    <row r="23" spans="1:7" ht="30" x14ac:dyDescent="0.25">
      <c r="E23" s="146" t="s">
        <v>1249</v>
      </c>
      <c r="F23" s="147">
        <v>240</v>
      </c>
    </row>
    <row r="24" spans="1:7" ht="15.75" x14ac:dyDescent="0.25">
      <c r="B24" s="148"/>
      <c r="E24" s="147" t="s">
        <v>1250</v>
      </c>
      <c r="F24" s="147" t="e">
        <f>F22/F23</f>
        <v>#REF!</v>
      </c>
    </row>
    <row r="26" spans="1:7" x14ac:dyDescent="0.25">
      <c r="A26" s="143" t="s">
        <v>12</v>
      </c>
      <c r="B26" s="143" t="s">
        <v>14</v>
      </c>
      <c r="C26" s="143" t="s">
        <v>432</v>
      </c>
      <c r="D26" s="143" t="s">
        <v>1251</v>
      </c>
      <c r="E26" s="143" t="s">
        <v>1252</v>
      </c>
      <c r="F26" s="143" t="s">
        <v>1253</v>
      </c>
    </row>
    <row r="27" spans="1:7" ht="75" x14ac:dyDescent="0.25">
      <c r="A27" s="144">
        <v>20193</v>
      </c>
      <c r="B27" s="145" t="s">
        <v>1254</v>
      </c>
      <c r="C27" s="142" t="s">
        <v>1255</v>
      </c>
      <c r="D27" s="142">
        <v>1</v>
      </c>
      <c r="E27" s="142" t="e">
        <f>VLOOKUP(A27,#REF!,4,FALSE)</f>
        <v>#REF!</v>
      </c>
      <c r="F27" s="60" t="e">
        <f>ROUND(E27/188.57,2)</f>
        <v>#REF!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COMPOSIÇÕES</vt:lpstr>
      <vt:lpstr>PARÂMETROS</vt:lpstr>
      <vt:lpstr>ÍNDICES</vt:lpstr>
      <vt:lpstr>ATUALIZAR_COTAÇÃO</vt:lpstr>
      <vt:lpstr>CADASTRO</vt:lpstr>
      <vt:lpstr>COMP_EPC_RESERVAT</vt:lpstr>
      <vt:lpstr>COMPOSIÇÕES!Area_de_impressao</vt:lpstr>
      <vt:lpstr>COMPOSIÇÕES!Titulos_de_impressao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Cordeiro Rodrigues</dc:creator>
  <cp:lastModifiedBy>Gentil Fideles Cavalcanti Filho</cp:lastModifiedBy>
  <cp:lastPrinted>2024-06-14T13:32:36Z</cp:lastPrinted>
  <dcterms:created xsi:type="dcterms:W3CDTF">2021-09-29T09:35:46Z</dcterms:created>
  <dcterms:modified xsi:type="dcterms:W3CDTF">2024-09-06T13:22:38Z</dcterms:modified>
</cp:coreProperties>
</file>